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cvzw-my.sharepoint.com/personal/veronique_matthys_atic_be/Documents/Bureaublad/___to do atic/ALGEMENE VERGADERINGEN/AV 26 maart 2025/_OP SITE ZETTEN IN DOWNLOADS/"/>
    </mc:Choice>
  </mc:AlternateContent>
  <xr:revisionPtr revIDLastSave="24" documentId="8_{1AD5F4AD-683A-432B-BDB2-B6338FAB98F4}" xr6:coauthVersionLast="47" xr6:coauthVersionMax="47" xr10:uidLastSave="{FC279106-A5F2-4C84-8925-F704D22386B2}"/>
  <bookViews>
    <workbookView xWindow="-108" yWindow="-108" windowWidth="23256" windowHeight="12456" tabRatio="334" xr2:uid="{00000000-000D-0000-FFFF-FFFF00000000}"/>
  </bookViews>
  <sheets>
    <sheet name="Analytische balans per periodeA" sheetId="1" r:id="rId1"/>
    <sheet name="Blad2" sheetId="7" r:id="rId2"/>
    <sheet name="Blad1" sheetId="6" r:id="rId3"/>
    <sheet name="loon V" sheetId="3" r:id="rId4"/>
    <sheet name="lokaal catering profs inschrijv" sheetId="2" r:id="rId5"/>
    <sheet name="inkomsten cylcu 4" sheetId="4" r:id="rId6"/>
    <sheet name="prof kost" sheetId="5" r:id="rId7"/>
  </sheet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1" l="1"/>
  <c r="J44" i="1" l="1"/>
  <c r="B17" i="3" l="1"/>
  <c r="B18" i="3"/>
  <c r="E108" i="1"/>
  <c r="F108" i="1"/>
  <c r="G108" i="1"/>
  <c r="H108" i="1"/>
  <c r="B13" i="3"/>
  <c r="F180" i="1"/>
  <c r="H179" i="1"/>
  <c r="G179" i="1"/>
  <c r="H157" i="1"/>
  <c r="H158" i="1" s="1"/>
  <c r="F157" i="1"/>
  <c r="F158" i="1" s="1"/>
  <c r="H151" i="1"/>
  <c r="G151" i="1"/>
  <c r="F151" i="1"/>
  <c r="E151" i="1"/>
  <c r="G143" i="1"/>
  <c r="H143" i="1"/>
  <c r="F143" i="1"/>
  <c r="E143" i="1"/>
  <c r="H133" i="1"/>
  <c r="G133" i="1"/>
  <c r="F133" i="1"/>
  <c r="E133" i="1"/>
  <c r="H104" i="1"/>
  <c r="G104" i="1"/>
  <c r="F104" i="1"/>
  <c r="E104" i="1"/>
  <c r="H99" i="1"/>
  <c r="G99" i="1"/>
  <c r="F99" i="1"/>
  <c r="E99" i="1"/>
  <c r="H94" i="1"/>
  <c r="G94" i="1"/>
  <c r="F94" i="1"/>
  <c r="E94" i="1"/>
  <c r="H72" i="1"/>
  <c r="G72" i="1"/>
  <c r="F72" i="1"/>
  <c r="E72" i="1"/>
  <c r="H44" i="1"/>
  <c r="G44" i="1"/>
  <c r="F44" i="1"/>
  <c r="E44" i="1"/>
  <c r="H5" i="1"/>
  <c r="G5" i="1"/>
  <c r="F5" i="1"/>
  <c r="E5" i="1"/>
  <c r="D18" i="3" l="1"/>
  <c r="F105" i="1"/>
  <c r="H180" i="1"/>
  <c r="F144" i="1"/>
  <c r="H144" i="1"/>
  <c r="F45" i="1"/>
  <c r="F95" i="1"/>
  <c r="F152" i="1"/>
  <c r="H152" i="1"/>
  <c r="G185" i="1"/>
  <c r="F134" i="1"/>
  <c r="H134" i="1"/>
  <c r="F109" i="1"/>
  <c r="H109" i="1"/>
  <c r="H105" i="1"/>
  <c r="F100" i="1"/>
  <c r="H100" i="1"/>
  <c r="H95" i="1"/>
  <c r="F73" i="1"/>
  <c r="H73" i="1"/>
  <c r="E176" i="1"/>
  <c r="E185" i="1"/>
  <c r="F185" i="1"/>
  <c r="F186" i="1" s="1"/>
  <c r="H6" i="1"/>
  <c r="G176" i="1"/>
  <c r="H45" i="1"/>
  <c r="H185" i="1"/>
  <c r="F176" i="1"/>
  <c r="H176" i="1"/>
  <c r="F6" i="1"/>
  <c r="H186" i="1" l="1"/>
  <c r="H177" i="1"/>
  <c r="F177" i="1"/>
  <c r="K46" i="1"/>
  <c r="K110" i="1"/>
  <c r="K137" i="1" l="1"/>
  <c r="K133" i="1" s="1"/>
  <c r="K108" i="1"/>
  <c r="K149" i="1"/>
  <c r="K143" i="1" s="1"/>
  <c r="J180" i="1"/>
  <c r="L179" i="1"/>
  <c r="K179" i="1"/>
  <c r="L157" i="1"/>
  <c r="L158" i="1" s="1"/>
  <c r="J157" i="1"/>
  <c r="J158" i="1" s="1"/>
  <c r="L151" i="1"/>
  <c r="K151" i="1"/>
  <c r="J151" i="1"/>
  <c r="I151" i="1"/>
  <c r="L143" i="1"/>
  <c r="J143" i="1"/>
  <c r="I143" i="1"/>
  <c r="L133" i="1"/>
  <c r="J133" i="1"/>
  <c r="I133" i="1"/>
  <c r="L108" i="1"/>
  <c r="J108" i="1"/>
  <c r="I108" i="1"/>
  <c r="L104" i="1"/>
  <c r="K104" i="1"/>
  <c r="J104" i="1"/>
  <c r="I104" i="1"/>
  <c r="L99" i="1"/>
  <c r="K99" i="1"/>
  <c r="J99" i="1"/>
  <c r="I99" i="1"/>
  <c r="L94" i="1"/>
  <c r="K94" i="1"/>
  <c r="J94" i="1"/>
  <c r="I94" i="1"/>
  <c r="L72" i="1"/>
  <c r="K72" i="1"/>
  <c r="J72" i="1"/>
  <c r="I72" i="1"/>
  <c r="I44" i="1"/>
  <c r="J45" i="1" s="1"/>
  <c r="I5" i="1"/>
  <c r="L5" i="1"/>
  <c r="K5" i="1"/>
  <c r="M44" i="1"/>
  <c r="O179" i="1"/>
  <c r="R179" i="1"/>
  <c r="O110" i="1"/>
  <c r="J152" i="1" l="1"/>
  <c r="L134" i="1"/>
  <c r="L44" i="1"/>
  <c r="L185" i="1" s="1"/>
  <c r="K44" i="1"/>
  <c r="K176" i="1" s="1"/>
  <c r="J95" i="1"/>
  <c r="J109" i="1"/>
  <c r="J6" i="1"/>
  <c r="J134" i="1"/>
  <c r="L180" i="1"/>
  <c r="L144" i="1"/>
  <c r="L109" i="1"/>
  <c r="L105" i="1"/>
  <c r="L100" i="1"/>
  <c r="L95" i="1"/>
  <c r="L73" i="1"/>
  <c r="L6" i="1"/>
  <c r="J144" i="1"/>
  <c r="J105" i="1"/>
  <c r="I185" i="1"/>
  <c r="J100" i="1"/>
  <c r="J73" i="1"/>
  <c r="J176" i="1"/>
  <c r="I176" i="1"/>
  <c r="L152" i="1"/>
  <c r="J185" i="1"/>
  <c r="O72" i="1"/>
  <c r="W46" i="1"/>
  <c r="U46" i="1"/>
  <c r="S46" i="1"/>
  <c r="Q46" i="1"/>
  <c r="O44" i="1"/>
  <c r="L176" i="1" l="1"/>
  <c r="L177" i="1" s="1"/>
  <c r="K185" i="1"/>
  <c r="L186" i="1" s="1"/>
  <c r="L45" i="1"/>
  <c r="J186" i="1"/>
  <c r="J177" i="1"/>
  <c r="Q179" i="1"/>
  <c r="O140" i="1"/>
  <c r="O138" i="1"/>
  <c r="O133" i="1" s="1"/>
  <c r="P70" i="1"/>
  <c r="P179" i="1" l="1"/>
  <c r="P180" i="1" s="1"/>
  <c r="N180" i="1"/>
  <c r="P157" i="1"/>
  <c r="N157" i="1"/>
  <c r="P151" i="1"/>
  <c r="O151" i="1"/>
  <c r="N151" i="1"/>
  <c r="M151" i="1"/>
  <c r="N143" i="1"/>
  <c r="P143" i="1"/>
  <c r="O143" i="1"/>
  <c r="M143" i="1"/>
  <c r="P133" i="1"/>
  <c r="P134" i="1" s="1"/>
  <c r="N133" i="1"/>
  <c r="M133" i="1"/>
  <c r="O108" i="1"/>
  <c r="M108" i="1"/>
  <c r="P108" i="1"/>
  <c r="N108" i="1"/>
  <c r="P104" i="1"/>
  <c r="O104" i="1"/>
  <c r="N104" i="1"/>
  <c r="M104" i="1"/>
  <c r="P99" i="1"/>
  <c r="O99" i="1"/>
  <c r="N99" i="1"/>
  <c r="M99" i="1"/>
  <c r="P94" i="1"/>
  <c r="O94" i="1"/>
  <c r="N94" i="1"/>
  <c r="M94" i="1"/>
  <c r="P72" i="1"/>
  <c r="N72" i="1"/>
  <c r="M72" i="1"/>
  <c r="P44" i="1"/>
  <c r="P45" i="1" s="1"/>
  <c r="N44" i="1"/>
  <c r="N45" i="1" s="1"/>
  <c r="P5" i="1"/>
  <c r="O5" i="1"/>
  <c r="N5" i="1"/>
  <c r="M5" i="1"/>
  <c r="R44" i="1"/>
  <c r="Q44" i="1"/>
  <c r="Q146" i="1"/>
  <c r="U179" i="1"/>
  <c r="V179" i="1"/>
  <c r="R147" i="1"/>
  <c r="R5" i="1"/>
  <c r="I141" i="6"/>
  <c r="I10" i="6"/>
  <c r="I142" i="6"/>
  <c r="I32" i="6"/>
  <c r="I62" i="6"/>
  <c r="I58" i="6"/>
  <c r="I15" i="6"/>
  <c r="I162" i="6"/>
  <c r="I143" i="6"/>
  <c r="I33" i="6"/>
  <c r="I89" i="6"/>
  <c r="I163" i="6"/>
  <c r="I36" i="6"/>
  <c r="I48" i="6"/>
  <c r="I90" i="6"/>
  <c r="I21" i="6"/>
  <c r="I91" i="6"/>
  <c r="I368" i="6"/>
  <c r="I4" i="6"/>
  <c r="I166" i="6"/>
  <c r="I167" i="6"/>
  <c r="I168" i="6"/>
  <c r="I169" i="6"/>
  <c r="I22" i="6"/>
  <c r="I170" i="6"/>
  <c r="I92" i="6"/>
  <c r="I171" i="6"/>
  <c r="I23" i="6"/>
  <c r="I72" i="6"/>
  <c r="I172" i="6"/>
  <c r="I34" i="6"/>
  <c r="I173" i="6"/>
  <c r="I174" i="6"/>
  <c r="I175" i="6"/>
  <c r="I176" i="6"/>
  <c r="I177" i="6"/>
  <c r="I178" i="6"/>
  <c r="I179" i="6"/>
  <c r="I180" i="6"/>
  <c r="I181" i="6"/>
  <c r="I2" i="6"/>
  <c r="I182" i="6"/>
  <c r="I183" i="6"/>
  <c r="I184" i="6"/>
  <c r="I185" i="6"/>
  <c r="I73" i="6"/>
  <c r="I164" i="6"/>
  <c r="I186" i="6"/>
  <c r="I187" i="6"/>
  <c r="I17" i="6"/>
  <c r="I74" i="6"/>
  <c r="I63" i="6"/>
  <c r="I188" i="6"/>
  <c r="I97" i="6"/>
  <c r="I189" i="6"/>
  <c r="I190" i="6"/>
  <c r="I191" i="6"/>
  <c r="I98" i="6"/>
  <c r="I192" i="6"/>
  <c r="I193" i="6"/>
  <c r="I194" i="6"/>
  <c r="I24" i="6"/>
  <c r="I158" i="6"/>
  <c r="I49" i="6"/>
  <c r="I50" i="6"/>
  <c r="I82" i="6"/>
  <c r="I85" i="6"/>
  <c r="I154" i="6"/>
  <c r="I37" i="6"/>
  <c r="I144" i="6"/>
  <c r="I64" i="6"/>
  <c r="I165" i="6"/>
  <c r="I195" i="6"/>
  <c r="I65" i="6"/>
  <c r="I111" i="6"/>
  <c r="I59" i="6"/>
  <c r="I112" i="6"/>
  <c r="I113" i="6"/>
  <c r="I114" i="6"/>
  <c r="I135" i="6"/>
  <c r="I146" i="6"/>
  <c r="I115" i="6"/>
  <c r="I116" i="6"/>
  <c r="I367" i="6"/>
  <c r="I18" i="6"/>
  <c r="I239" i="6"/>
  <c r="I370" i="6"/>
  <c r="I51" i="6"/>
  <c r="I75" i="6"/>
  <c r="I25" i="6"/>
  <c r="I38" i="6"/>
  <c r="I371" i="6"/>
  <c r="I372" i="6"/>
  <c r="I5" i="6"/>
  <c r="I12" i="6"/>
  <c r="I147" i="6"/>
  <c r="I196" i="6"/>
  <c r="I76" i="6"/>
  <c r="I71" i="6"/>
  <c r="I197" i="6"/>
  <c r="I198" i="6"/>
  <c r="I19" i="6"/>
  <c r="I101" i="6"/>
  <c r="I199" i="6"/>
  <c r="I373" i="6"/>
  <c r="I374" i="6"/>
  <c r="I200" i="6"/>
  <c r="I201" i="6"/>
  <c r="I240" i="6"/>
  <c r="I93" i="6"/>
  <c r="I375" i="6"/>
  <c r="I376" i="6"/>
  <c r="I202" i="6"/>
  <c r="I35" i="6"/>
  <c r="I26" i="6"/>
  <c r="I203" i="6"/>
  <c r="I66" i="6"/>
  <c r="I204" i="6"/>
  <c r="I205" i="6"/>
  <c r="I392" i="6"/>
  <c r="I377" i="6"/>
  <c r="I206" i="6"/>
  <c r="I378" i="6"/>
  <c r="I52" i="6"/>
  <c r="I155" i="6"/>
  <c r="I83" i="6"/>
  <c r="I159" i="6"/>
  <c r="I110" i="6"/>
  <c r="I6" i="6"/>
  <c r="I39" i="6"/>
  <c r="I86" i="6"/>
  <c r="I67" i="6"/>
  <c r="I3" i="6"/>
  <c r="I7" i="6"/>
  <c r="I207" i="6"/>
  <c r="I208" i="6"/>
  <c r="I117" i="6"/>
  <c r="I118" i="6"/>
  <c r="I148" i="6"/>
  <c r="I136" i="6"/>
  <c r="I119" i="6"/>
  <c r="I120" i="6"/>
  <c r="I379" i="6"/>
  <c r="I121" i="6"/>
  <c r="I122" i="6"/>
  <c r="I241" i="6"/>
  <c r="I304" i="6"/>
  <c r="I53" i="6"/>
  <c r="I242" i="6"/>
  <c r="I243" i="6"/>
  <c r="I244" i="6"/>
  <c r="I245" i="6"/>
  <c r="I246" i="6"/>
  <c r="I247" i="6"/>
  <c r="I248" i="6"/>
  <c r="I40" i="6"/>
  <c r="I249" i="6"/>
  <c r="I250" i="6"/>
  <c r="I251" i="6"/>
  <c r="I252" i="6"/>
  <c r="I209" i="6"/>
  <c r="I305" i="6"/>
  <c r="I253" i="6"/>
  <c r="I254" i="6"/>
  <c r="I41" i="6"/>
  <c r="I255" i="6"/>
  <c r="I94" i="6"/>
  <c r="I306" i="6"/>
  <c r="I307" i="6"/>
  <c r="I256" i="6"/>
  <c r="I257" i="6"/>
  <c r="I308" i="6"/>
  <c r="I309" i="6"/>
  <c r="I310" i="6"/>
  <c r="I311" i="6"/>
  <c r="I258" i="6"/>
  <c r="I312" i="6"/>
  <c r="I259" i="6"/>
  <c r="I260" i="6"/>
  <c r="I313" i="6"/>
  <c r="I261" i="6"/>
  <c r="I262" i="6"/>
  <c r="I314" i="6"/>
  <c r="I315" i="6"/>
  <c r="I316" i="6"/>
  <c r="I263" i="6"/>
  <c r="I264" i="6"/>
  <c r="I317" i="6"/>
  <c r="I42" i="6"/>
  <c r="I265" i="6"/>
  <c r="I266" i="6"/>
  <c r="I267" i="6"/>
  <c r="I268" i="6"/>
  <c r="I318" i="6"/>
  <c r="I319" i="6"/>
  <c r="I320" i="6"/>
  <c r="I321" i="6"/>
  <c r="I269" i="6"/>
  <c r="I322" i="6"/>
  <c r="I270" i="6"/>
  <c r="I271" i="6"/>
  <c r="I380" i="6"/>
  <c r="I323" i="6"/>
  <c r="I272" i="6"/>
  <c r="I27" i="6"/>
  <c r="I324" i="6"/>
  <c r="I273" i="6"/>
  <c r="I381" i="6"/>
  <c r="I145" i="6"/>
  <c r="I325" i="6"/>
  <c r="I382" i="6"/>
  <c r="I326" i="6"/>
  <c r="I327" i="6"/>
  <c r="I274" i="6"/>
  <c r="I275" i="6"/>
  <c r="I28" i="6"/>
  <c r="I77" i="6"/>
  <c r="I328" i="6"/>
  <c r="I276" i="6"/>
  <c r="I383" i="6"/>
  <c r="I277" i="6"/>
  <c r="I329" i="6"/>
  <c r="I278" i="6"/>
  <c r="I330" i="6"/>
  <c r="I331" i="6"/>
  <c r="I332" i="6"/>
  <c r="I279" i="6"/>
  <c r="I102" i="6"/>
  <c r="I280" i="6"/>
  <c r="I68" i="6"/>
  <c r="I210" i="6"/>
  <c r="I281" i="6"/>
  <c r="I333" i="6"/>
  <c r="I211" i="6"/>
  <c r="I282" i="6"/>
  <c r="I334" i="6"/>
  <c r="I212" i="6"/>
  <c r="I213" i="6"/>
  <c r="I384" i="6"/>
  <c r="I283" i="6"/>
  <c r="I214" i="6"/>
  <c r="I99" i="6"/>
  <c r="I335" i="6"/>
  <c r="I284" i="6"/>
  <c r="I336" i="6"/>
  <c r="I16" i="6"/>
  <c r="I337" i="6"/>
  <c r="I78" i="6"/>
  <c r="I338" i="6"/>
  <c r="I285" i="6"/>
  <c r="I339" i="6"/>
  <c r="I286" i="6"/>
  <c r="I79" i="6"/>
  <c r="I287" i="6"/>
  <c r="I340" i="6"/>
  <c r="I385" i="6"/>
  <c r="I139" i="6"/>
  <c r="I341" i="6"/>
  <c r="I288" i="6"/>
  <c r="I215" i="6"/>
  <c r="I386" i="6"/>
  <c r="I216" i="6"/>
  <c r="I217" i="6"/>
  <c r="I218" i="6"/>
  <c r="I342" i="6"/>
  <c r="I343" i="6"/>
  <c r="I54" i="6"/>
  <c r="I289" i="6"/>
  <c r="I156" i="6"/>
  <c r="I160" i="6"/>
  <c r="I8" i="6"/>
  <c r="I290" i="6"/>
  <c r="I43" i="6"/>
  <c r="I291" i="6"/>
  <c r="I344" i="6"/>
  <c r="I87" i="6"/>
  <c r="I219" i="6"/>
  <c r="I292" i="6"/>
  <c r="I220" i="6"/>
  <c r="I293" i="6"/>
  <c r="I20" i="6"/>
  <c r="I387" i="6"/>
  <c r="I149" i="6"/>
  <c r="I44" i="6"/>
  <c r="I123" i="6"/>
  <c r="I124" i="6"/>
  <c r="I29" i="6"/>
  <c r="I137" i="6"/>
  <c r="I125" i="6"/>
  <c r="I126" i="6"/>
  <c r="I388" i="6"/>
  <c r="I127" i="6"/>
  <c r="I128" i="6"/>
  <c r="I9" i="6"/>
  <c r="I294" i="6"/>
  <c r="I60" i="6"/>
  <c r="I69" i="6"/>
  <c r="I61" i="6"/>
  <c r="I345" i="6"/>
  <c r="I45" i="6"/>
  <c r="I295" i="6"/>
  <c r="I95" i="6"/>
  <c r="I346" i="6"/>
  <c r="I389" i="6"/>
  <c r="I390" i="6"/>
  <c r="I55" i="6"/>
  <c r="I103" i="6"/>
  <c r="I347" i="6"/>
  <c r="I348" i="6"/>
  <c r="I104" i="6"/>
  <c r="I296" i="6"/>
  <c r="I349" i="6"/>
  <c r="I350" i="6"/>
  <c r="I351" i="6"/>
  <c r="I30" i="6"/>
  <c r="I297" i="6"/>
  <c r="I369" i="6"/>
  <c r="I352" i="6"/>
  <c r="I353" i="6"/>
  <c r="I221" i="6"/>
  <c r="I354" i="6"/>
  <c r="I222" i="6"/>
  <c r="I355" i="6"/>
  <c r="I223" i="6"/>
  <c r="I356" i="6"/>
  <c r="I357" i="6"/>
  <c r="I96" i="6"/>
  <c r="I224" i="6"/>
  <c r="I225" i="6"/>
  <c r="I150" i="6"/>
  <c r="I358" i="6"/>
  <c r="I151" i="6"/>
  <c r="I359" i="6"/>
  <c r="I81" i="6"/>
  <c r="I360" i="6"/>
  <c r="I13" i="6"/>
  <c r="I361" i="6"/>
  <c r="I226" i="6"/>
  <c r="I362" i="6"/>
  <c r="I56" i="6"/>
  <c r="I227" i="6"/>
  <c r="I363" i="6"/>
  <c r="I228" i="6"/>
  <c r="I364" i="6"/>
  <c r="I152" i="6"/>
  <c r="I129" i="6"/>
  <c r="I130" i="6"/>
  <c r="I138" i="6"/>
  <c r="I131" i="6"/>
  <c r="I132" i="6"/>
  <c r="I133" i="6"/>
  <c r="I134" i="6"/>
  <c r="I365" i="6"/>
  <c r="I298" i="6"/>
  <c r="I299" i="6"/>
  <c r="I46" i="6"/>
  <c r="I80" i="6"/>
  <c r="I229" i="6"/>
  <c r="I300" i="6"/>
  <c r="I70" i="6"/>
  <c r="I31" i="6"/>
  <c r="I11" i="6"/>
  <c r="I100" i="6"/>
  <c r="I301" i="6"/>
  <c r="I105" i="6"/>
  <c r="I391" i="6"/>
  <c r="I230" i="6"/>
  <c r="I231" i="6"/>
  <c r="I232" i="6"/>
  <c r="I233" i="6"/>
  <c r="I302" i="6"/>
  <c r="I106" i="6"/>
  <c r="I234" i="6"/>
  <c r="I366" i="6"/>
  <c r="I235" i="6"/>
  <c r="I107" i="6"/>
  <c r="I108" i="6"/>
  <c r="I236" i="6"/>
  <c r="I237" i="6"/>
  <c r="I238" i="6"/>
  <c r="I109" i="6"/>
  <c r="I303" i="6"/>
  <c r="I140" i="6"/>
  <c r="I153" i="6"/>
  <c r="I14" i="6"/>
  <c r="I57" i="6"/>
  <c r="I88" i="6"/>
  <c r="I161" i="6"/>
  <c r="I84" i="6"/>
  <c r="I157" i="6"/>
  <c r="I47" i="6"/>
  <c r="I67" i="5"/>
  <c r="N6" i="1" l="1"/>
  <c r="P6" i="1"/>
  <c r="N176" i="1"/>
  <c r="M176" i="1"/>
  <c r="P176" i="1"/>
  <c r="P185" i="1"/>
  <c r="O176" i="1"/>
  <c r="O185" i="1"/>
  <c r="P105" i="1"/>
  <c r="N105" i="1"/>
  <c r="N134" i="1"/>
  <c r="N152" i="1"/>
  <c r="P152" i="1"/>
  <c r="N100" i="1"/>
  <c r="N109" i="1"/>
  <c r="P144" i="1"/>
  <c r="P95" i="1"/>
  <c r="P100" i="1"/>
  <c r="R45" i="1"/>
  <c r="P109" i="1"/>
  <c r="N73" i="1"/>
  <c r="P73" i="1"/>
  <c r="N144" i="1"/>
  <c r="N95" i="1"/>
  <c r="M185" i="1"/>
  <c r="N185" i="1"/>
  <c r="Q5" i="1"/>
  <c r="V68" i="1"/>
  <c r="V67" i="1"/>
  <c r="T44" i="1"/>
  <c r="U113" i="1"/>
  <c r="U146" i="1"/>
  <c r="T5" i="1"/>
  <c r="S5" i="1"/>
  <c r="T108" i="1"/>
  <c r="B4" i="3"/>
  <c r="B9" i="3" s="1"/>
  <c r="T183" i="1"/>
  <c r="T179" i="1" s="1"/>
  <c r="S113" i="1"/>
  <c r="S108" i="1" s="1"/>
  <c r="T143" i="1"/>
  <c r="S143" i="1"/>
  <c r="S137" i="1"/>
  <c r="S133" i="1" s="1"/>
  <c r="C20" i="2"/>
  <c r="R157" i="1"/>
  <c r="T157" i="1"/>
  <c r="Y157" i="1"/>
  <c r="R151" i="1"/>
  <c r="Q151" i="1"/>
  <c r="T151" i="1"/>
  <c r="S151" i="1"/>
  <c r="R143" i="1"/>
  <c r="Q143" i="1"/>
  <c r="R133" i="1"/>
  <c r="Q133" i="1"/>
  <c r="T133" i="1"/>
  <c r="R108" i="1"/>
  <c r="Q108" i="1"/>
  <c r="R104" i="1"/>
  <c r="Q104" i="1"/>
  <c r="T104" i="1"/>
  <c r="S104" i="1"/>
  <c r="R99" i="1"/>
  <c r="Q99" i="1"/>
  <c r="T99" i="1"/>
  <c r="S99" i="1"/>
  <c r="R94" i="1"/>
  <c r="Q94" i="1"/>
  <c r="T94" i="1"/>
  <c r="S94" i="1"/>
  <c r="R72" i="1"/>
  <c r="Q72" i="1"/>
  <c r="T72" i="1"/>
  <c r="S72" i="1"/>
  <c r="U110" i="1"/>
  <c r="U72" i="1"/>
  <c r="U44" i="1"/>
  <c r="U5" i="1"/>
  <c r="V5" i="1"/>
  <c r="V87" i="1"/>
  <c r="V72" i="1" s="1"/>
  <c r="U112" i="1"/>
  <c r="N186" i="1" l="1"/>
  <c r="N177" i="1"/>
  <c r="N158" i="1"/>
  <c r="P186" i="1"/>
  <c r="P177" i="1"/>
  <c r="R185" i="1"/>
  <c r="R6" i="1"/>
  <c r="Q176" i="1"/>
  <c r="R176" i="1"/>
  <c r="V44" i="1"/>
  <c r="V45" i="1" s="1"/>
  <c r="Q185" i="1"/>
  <c r="T6" i="1"/>
  <c r="S44" i="1"/>
  <c r="T45" i="1" s="1"/>
  <c r="R158" i="1"/>
  <c r="R100" i="1"/>
  <c r="T144" i="1"/>
  <c r="R134" i="1"/>
  <c r="T158" i="1"/>
  <c r="T95" i="1"/>
  <c r="R109" i="1"/>
  <c r="R95" i="1"/>
  <c r="R105" i="1"/>
  <c r="R152" i="1"/>
  <c r="R144" i="1"/>
  <c r="T152" i="1"/>
  <c r="T73" i="1"/>
  <c r="T134" i="1"/>
  <c r="T100" i="1"/>
  <c r="R73" i="1"/>
  <c r="T105" i="1"/>
  <c r="V6" i="1"/>
  <c r="U151" i="1"/>
  <c r="V151" i="1"/>
  <c r="U143" i="1"/>
  <c r="V143" i="1"/>
  <c r="U133" i="1"/>
  <c r="V133" i="1"/>
  <c r="V108" i="1"/>
  <c r="U104" i="1"/>
  <c r="V104" i="1"/>
  <c r="U99" i="1"/>
  <c r="V99" i="1"/>
  <c r="U94" i="1"/>
  <c r="V94" i="1"/>
  <c r="U108" i="1"/>
  <c r="R177" i="1" l="1"/>
  <c r="P158" i="1"/>
  <c r="R186" i="1"/>
  <c r="V152" i="1"/>
  <c r="V95" i="1"/>
  <c r="V109" i="1"/>
  <c r="V100" i="1"/>
  <c r="V105" i="1"/>
  <c r="V134" i="1"/>
  <c r="V144" i="1"/>
  <c r="V73" i="1"/>
  <c r="Y110" i="1"/>
  <c r="Y108" i="1" s="1"/>
  <c r="Z108" i="1"/>
  <c r="Z109" i="1" l="1"/>
  <c r="W110" i="1" l="1"/>
  <c r="W27" i="1" l="1"/>
  <c r="W24" i="1"/>
  <c r="W13" i="1"/>
  <c r="W48" i="1"/>
  <c r="X89" i="1"/>
  <c r="X72" i="1" s="1"/>
  <c r="W77" i="1"/>
  <c r="W75" i="1"/>
  <c r="W74" i="1"/>
  <c r="AD112" i="1"/>
  <c r="W108" i="1"/>
  <c r="W23" i="1"/>
  <c r="W149" i="1"/>
  <c r="W143" i="1" s="1"/>
  <c r="W137" i="1"/>
  <c r="W133" i="1" s="1"/>
  <c r="X134" i="1" s="1"/>
  <c r="AF110" i="1"/>
  <c r="AD110" i="1"/>
  <c r="AA110" i="1"/>
  <c r="X151" i="1"/>
  <c r="W151" i="1"/>
  <c r="X143" i="1"/>
  <c r="X121" i="1"/>
  <c r="X108" i="1"/>
  <c r="W104" i="1"/>
  <c r="X105" i="1" s="1"/>
  <c r="W99" i="1"/>
  <c r="X100" i="1" s="1"/>
  <c r="W94" i="1"/>
  <c r="X95" i="1" s="1"/>
  <c r="X5" i="1"/>
  <c r="W5" i="1" l="1"/>
  <c r="X6" i="1" s="1"/>
  <c r="W72" i="1"/>
  <c r="X73" i="1" s="1"/>
  <c r="X44" i="1"/>
  <c r="X185" i="1" s="1"/>
  <c r="W44" i="1"/>
  <c r="X144" i="1"/>
  <c r="X152" i="1"/>
  <c r="X109" i="1"/>
  <c r="Z88" i="1"/>
  <c r="Z72" i="1" s="1"/>
  <c r="Y17" i="1"/>
  <c r="AJ157" i="1"/>
  <c r="AI166" i="1"/>
  <c r="AI162" i="1"/>
  <c r="AI46" i="1"/>
  <c r="AI44" i="1" s="1"/>
  <c r="AJ66" i="1"/>
  <c r="AJ65" i="1"/>
  <c r="AJ38" i="1"/>
  <c r="AJ37" i="1"/>
  <c r="AI34" i="1"/>
  <c r="AI24" i="1"/>
  <c r="AI23" i="1"/>
  <c r="AI29" i="1"/>
  <c r="AI16" i="1"/>
  <c r="AI15" i="1"/>
  <c r="Y20" i="1"/>
  <c r="Z44" i="1"/>
  <c r="Y44" i="1"/>
  <c r="Z143" i="1"/>
  <c r="Y15" i="1"/>
  <c r="Y72" i="1"/>
  <c r="Y143" i="1"/>
  <c r="Z157" i="1"/>
  <c r="Z158" i="1" s="1"/>
  <c r="Z5" i="1"/>
  <c r="Z151" i="1"/>
  <c r="Y151" i="1"/>
  <c r="Z133" i="1"/>
  <c r="Y133" i="1"/>
  <c r="Z104" i="1"/>
  <c r="Y104" i="1"/>
  <c r="Z99" i="1"/>
  <c r="Y99" i="1"/>
  <c r="Z94" i="1"/>
  <c r="Y94" i="1"/>
  <c r="AG44" i="1"/>
  <c r="AG45" i="1" s="1"/>
  <c r="AG5" i="1"/>
  <c r="AG6" i="1" s="1"/>
  <c r="AG73" i="1"/>
  <c r="AG143" i="1"/>
  <c r="AF143" i="1"/>
  <c r="AB5" i="1"/>
  <c r="AA5" i="1"/>
  <c r="AB44" i="1"/>
  <c r="AA44" i="1"/>
  <c r="AB72" i="1"/>
  <c r="AA72" i="1"/>
  <c r="AA94" i="1"/>
  <c r="AB95" i="1" s="1"/>
  <c r="AA99" i="1"/>
  <c r="AB100" i="1" s="1"/>
  <c r="AB143" i="1"/>
  <c r="AA143" i="1"/>
  <c r="AA151" i="1"/>
  <c r="AA104" i="1"/>
  <c r="AB105" i="1" s="1"/>
  <c r="AD108" i="1"/>
  <c r="AA138" i="1"/>
  <c r="AA135" i="1"/>
  <c r="AC185" i="1"/>
  <c r="AH185" i="1"/>
  <c r="AJ108" i="1"/>
  <c r="AI108" i="1"/>
  <c r="AJ151" i="1"/>
  <c r="AI151" i="1"/>
  <c r="AJ143" i="1"/>
  <c r="AF151" i="1"/>
  <c r="AG152" i="1" s="1"/>
  <c r="AE151" i="1"/>
  <c r="AD151" i="1"/>
  <c r="AD133" i="1"/>
  <c r="AE72" i="1"/>
  <c r="AE44" i="1"/>
  <c r="AD44" i="1"/>
  <c r="AB151" i="1"/>
  <c r="AO70" i="1"/>
  <c r="AB108" i="1"/>
  <c r="AA115" i="1"/>
  <c r="AD106" i="1"/>
  <c r="AD104" i="1" s="1"/>
  <c r="AB121" i="1"/>
  <c r="AO82" i="1"/>
  <c r="AN82" i="1"/>
  <c r="AD30" i="1"/>
  <c r="AE108" i="1"/>
  <c r="AD87" i="1"/>
  <c r="AD72" i="1" s="1"/>
  <c r="AE38" i="1"/>
  <c r="AE5" i="1" s="1"/>
  <c r="AD145" i="1"/>
  <c r="AD143" i="1" s="1"/>
  <c r="AD24" i="1"/>
  <c r="AE147" i="1"/>
  <c r="AE143" i="1" s="1"/>
  <c r="AF43" i="1"/>
  <c r="AE133" i="1"/>
  <c r="AE120" i="1"/>
  <c r="AD120" i="1"/>
  <c r="AE104" i="1"/>
  <c r="AE99" i="1"/>
  <c r="AD99" i="1"/>
  <c r="AE94" i="1"/>
  <c r="AD94" i="1"/>
  <c r="AF133" i="1"/>
  <c r="AG134" i="1" s="1"/>
  <c r="AI133" i="1"/>
  <c r="AI145" i="1"/>
  <c r="AI143" i="1" s="1"/>
  <c r="AG121" i="1"/>
  <c r="AG105" i="1"/>
  <c r="AG100" i="1"/>
  <c r="AG95" i="1"/>
  <c r="AN149" i="1"/>
  <c r="AN155" i="1"/>
  <c r="AN153" i="1"/>
  <c r="AM151" i="1"/>
  <c r="AL151" i="1"/>
  <c r="AN146" i="1"/>
  <c r="AN145" i="1"/>
  <c r="AM143" i="1"/>
  <c r="AL143" i="1"/>
  <c r="AN154" i="1"/>
  <c r="AM148" i="1"/>
  <c r="AN148" i="1" s="1"/>
  <c r="AN147" i="1"/>
  <c r="AN139" i="1"/>
  <c r="AN138" i="1"/>
  <c r="AN137" i="1"/>
  <c r="AN135" i="1"/>
  <c r="AM133" i="1"/>
  <c r="AL133" i="1"/>
  <c r="AN131" i="1"/>
  <c r="AN130" i="1"/>
  <c r="AN129" i="1"/>
  <c r="AN128" i="1"/>
  <c r="AN127" i="1"/>
  <c r="AN126" i="1"/>
  <c r="AN125" i="1"/>
  <c r="AN124" i="1"/>
  <c r="AN123" i="1"/>
  <c r="AN122" i="1"/>
  <c r="AM120" i="1"/>
  <c r="AL120" i="1"/>
  <c r="AN115" i="1"/>
  <c r="AN114" i="1"/>
  <c r="AN113" i="1"/>
  <c r="AN112" i="1"/>
  <c r="AN110" i="1"/>
  <c r="AM108" i="1"/>
  <c r="AL108" i="1"/>
  <c r="AN106" i="1"/>
  <c r="AM104" i="1"/>
  <c r="AL104" i="1"/>
  <c r="AN102" i="1"/>
  <c r="AN101" i="1"/>
  <c r="AM99" i="1"/>
  <c r="AL99" i="1"/>
  <c r="AN97" i="1"/>
  <c r="AN96" i="1"/>
  <c r="AM94" i="1"/>
  <c r="AL94" i="1"/>
  <c r="AN92" i="1"/>
  <c r="AN91" i="1"/>
  <c r="AM87" i="1"/>
  <c r="AN87" i="1" s="1"/>
  <c r="AN85" i="1"/>
  <c r="AN84" i="1"/>
  <c r="AN83" i="1"/>
  <c r="AN81" i="1"/>
  <c r="AN80" i="1"/>
  <c r="AN79" i="1"/>
  <c r="AL77" i="1"/>
  <c r="AN77" i="1" s="1"/>
  <c r="AN75" i="1"/>
  <c r="AN74" i="1"/>
  <c r="AN68" i="1"/>
  <c r="AN67" i="1"/>
  <c r="AN66" i="1"/>
  <c r="AN65" i="1"/>
  <c r="AN64" i="1"/>
  <c r="AN63" i="1"/>
  <c r="AN62" i="1"/>
  <c r="AN61" i="1"/>
  <c r="AL60" i="1"/>
  <c r="AN58" i="1"/>
  <c r="AN57" i="1"/>
  <c r="AN51" i="1"/>
  <c r="AL50" i="1"/>
  <c r="AN50" i="1" s="1"/>
  <c r="AN49" i="1"/>
  <c r="AN48" i="1"/>
  <c r="AN47" i="1"/>
  <c r="AN46" i="1"/>
  <c r="AM44" i="1"/>
  <c r="AN42" i="1"/>
  <c r="AN41" i="1"/>
  <c r="AN40" i="1"/>
  <c r="AN39" i="1"/>
  <c r="AN38" i="1"/>
  <c r="AN37" i="1"/>
  <c r="AN36" i="1"/>
  <c r="AN35" i="1"/>
  <c r="AN34" i="1"/>
  <c r="AN32" i="1"/>
  <c r="AN31" i="1"/>
  <c r="AN30" i="1"/>
  <c r="AL29" i="1"/>
  <c r="AN29" i="1" s="1"/>
  <c r="AN28" i="1"/>
  <c r="AN27" i="1"/>
  <c r="AN26" i="1"/>
  <c r="AN25" i="1"/>
  <c r="AN24" i="1"/>
  <c r="AN23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L7" i="1"/>
  <c r="AM5" i="1"/>
  <c r="AO7" i="1"/>
  <c r="AO5" i="1" s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3" i="1"/>
  <c r="AO24" i="1"/>
  <c r="AO25" i="1"/>
  <c r="AO26" i="1"/>
  <c r="AO27" i="1"/>
  <c r="AO28" i="1"/>
  <c r="AO29" i="1"/>
  <c r="AO30" i="1"/>
  <c r="AO31" i="1"/>
  <c r="AO32" i="1"/>
  <c r="AO34" i="1"/>
  <c r="AO35" i="1"/>
  <c r="AO36" i="1"/>
  <c r="AO37" i="1"/>
  <c r="AO38" i="1"/>
  <c r="AO39" i="1"/>
  <c r="AO40" i="1"/>
  <c r="AO41" i="1"/>
  <c r="AO42" i="1"/>
  <c r="AO46" i="1"/>
  <c r="AO44" i="1" s="1"/>
  <c r="AO47" i="1"/>
  <c r="AO48" i="1"/>
  <c r="AO49" i="1"/>
  <c r="AO50" i="1"/>
  <c r="AO51" i="1"/>
  <c r="AO57" i="1"/>
  <c r="AO58" i="1"/>
  <c r="AO60" i="1"/>
  <c r="AO61" i="1"/>
  <c r="AO62" i="1"/>
  <c r="AO63" i="1"/>
  <c r="AO64" i="1"/>
  <c r="AO65" i="1"/>
  <c r="AO66" i="1"/>
  <c r="AO67" i="1"/>
  <c r="AO68" i="1"/>
  <c r="AO74" i="1"/>
  <c r="AO72" i="1" s="1"/>
  <c r="AO75" i="1"/>
  <c r="AO77" i="1"/>
  <c r="AO79" i="1"/>
  <c r="AO80" i="1"/>
  <c r="AO81" i="1"/>
  <c r="AO83" i="1"/>
  <c r="AO84" i="1"/>
  <c r="AO85" i="1"/>
  <c r="AO87" i="1"/>
  <c r="AO91" i="1"/>
  <c r="AO92" i="1"/>
  <c r="AO96" i="1"/>
  <c r="AO94" i="1" s="1"/>
  <c r="AO97" i="1"/>
  <c r="AO101" i="1"/>
  <c r="AO99" i="1" s="1"/>
  <c r="AO102" i="1"/>
  <c r="AO106" i="1"/>
  <c r="AO104" i="1" s="1"/>
  <c r="AO110" i="1"/>
  <c r="AO108" i="1" s="1"/>
  <c r="AO112" i="1"/>
  <c r="AO113" i="1"/>
  <c r="AO114" i="1"/>
  <c r="AO115" i="1"/>
  <c r="AO122" i="1"/>
  <c r="AO120" i="1" s="1"/>
  <c r="AO123" i="1"/>
  <c r="AO124" i="1"/>
  <c r="AO125" i="1"/>
  <c r="AO126" i="1"/>
  <c r="AO127" i="1"/>
  <c r="AO128" i="1"/>
  <c r="AO129" i="1"/>
  <c r="AO130" i="1"/>
  <c r="AO131" i="1"/>
  <c r="AO135" i="1"/>
  <c r="AO133" i="1" s="1"/>
  <c r="AO137" i="1"/>
  <c r="AO138" i="1"/>
  <c r="AO139" i="1"/>
  <c r="AO147" i="1"/>
  <c r="AO148" i="1"/>
  <c r="AO154" i="1"/>
  <c r="AO145" i="1"/>
  <c r="AO143" i="1" s="1"/>
  <c r="AO146" i="1"/>
  <c r="AO153" i="1"/>
  <c r="AO151" i="1" s="1"/>
  <c r="AO155" i="1"/>
  <c r="AO149" i="1"/>
  <c r="AK154" i="1"/>
  <c r="AK151" i="1" s="1"/>
  <c r="AK104" i="1"/>
  <c r="AK67" i="1"/>
  <c r="AK44" i="1" s="1"/>
  <c r="AI104" i="1"/>
  <c r="AJ104" i="1"/>
  <c r="AK143" i="1"/>
  <c r="AK108" i="1"/>
  <c r="AK138" i="1"/>
  <c r="AK135" i="1"/>
  <c r="AJ99" i="1"/>
  <c r="AK99" i="1"/>
  <c r="AI99" i="1"/>
  <c r="AJ94" i="1"/>
  <c r="AK94" i="1"/>
  <c r="AI94" i="1"/>
  <c r="AJ72" i="1"/>
  <c r="AK72" i="1"/>
  <c r="AI72" i="1"/>
  <c r="AJ133" i="1"/>
  <c r="AJ120" i="1"/>
  <c r="AK120" i="1"/>
  <c r="AI120" i="1"/>
  <c r="AG109" i="1"/>
  <c r="AJ134" i="1" l="1"/>
  <c r="AM105" i="1"/>
  <c r="AJ152" i="1"/>
  <c r="AJ144" i="1"/>
  <c r="AM144" i="1"/>
  <c r="AB152" i="1"/>
  <c r="AJ73" i="1"/>
  <c r="AE45" i="1"/>
  <c r="AE105" i="1"/>
  <c r="AN143" i="1"/>
  <c r="AE100" i="1"/>
  <c r="AE73" i="1"/>
  <c r="AJ44" i="1"/>
  <c r="AJ45" i="1" s="1"/>
  <c r="AA108" i="1"/>
  <c r="AB109" i="1" s="1"/>
  <c r="AD5" i="1"/>
  <c r="AE6" i="1" s="1"/>
  <c r="AL44" i="1"/>
  <c r="AM45" i="1" s="1"/>
  <c r="AE152" i="1"/>
  <c r="X45" i="1"/>
  <c r="W185" i="1"/>
  <c r="AG185" i="1"/>
  <c r="AB73" i="1"/>
  <c r="AM100" i="1"/>
  <c r="Z45" i="1"/>
  <c r="AN60" i="1"/>
  <c r="AN44" i="1" s="1"/>
  <c r="AE144" i="1"/>
  <c r="AL5" i="1"/>
  <c r="AM6" i="1" s="1"/>
  <c r="AB144" i="1"/>
  <c r="AF185" i="1"/>
  <c r="AN120" i="1"/>
  <c r="AB6" i="1"/>
  <c r="AL72" i="1"/>
  <c r="AJ100" i="1"/>
  <c r="AN99" i="1"/>
  <c r="AN151" i="1"/>
  <c r="AE109" i="1"/>
  <c r="Z100" i="1"/>
  <c r="Z134" i="1"/>
  <c r="AE95" i="1"/>
  <c r="AB45" i="1"/>
  <c r="AJ105" i="1"/>
  <c r="AM109" i="1"/>
  <c r="AM152" i="1"/>
  <c r="AM72" i="1"/>
  <c r="AM185" i="1" s="1"/>
  <c r="AN104" i="1"/>
  <c r="AI5" i="1"/>
  <c r="AJ95" i="1"/>
  <c r="AE121" i="1"/>
  <c r="AJ109" i="1"/>
  <c r="Z105" i="1"/>
  <c r="AJ5" i="1"/>
  <c r="Z95" i="1"/>
  <c r="AK133" i="1"/>
  <c r="AM95" i="1"/>
  <c r="AM134" i="1"/>
  <c r="AG144" i="1"/>
  <c r="Z152" i="1"/>
  <c r="Y5" i="1"/>
  <c r="Y185" i="1" s="1"/>
  <c r="Y179" i="1" s="1"/>
  <c r="AB185" i="1"/>
  <c r="AN7" i="1"/>
  <c r="AN5" i="1" s="1"/>
  <c r="AJ121" i="1"/>
  <c r="AN94" i="1"/>
  <c r="AN133" i="1"/>
  <c r="AN72" i="1"/>
  <c r="AM121" i="1"/>
  <c r="AA133" i="1"/>
  <c r="AB134" i="1" s="1"/>
  <c r="AI157" i="1"/>
  <c r="AJ158" i="1" s="1"/>
  <c r="Z144" i="1"/>
  <c r="AN108" i="1"/>
  <c r="AE134" i="1"/>
  <c r="Z73" i="1"/>
  <c r="Z185" i="1"/>
  <c r="AE185" i="1"/>
  <c r="AO185" i="1"/>
  <c r="X186" i="1" l="1"/>
  <c r="AG186" i="1"/>
  <c r="AD185" i="1"/>
  <c r="AE186" i="1" s="1"/>
  <c r="AJ185" i="1"/>
  <c r="AL185" i="1"/>
  <c r="AM186" i="1" s="1"/>
  <c r="Z6" i="1"/>
  <c r="AK5" i="1"/>
  <c r="AK185" i="1" s="1"/>
  <c r="AI185" i="1"/>
  <c r="AN185" i="1"/>
  <c r="AJ6" i="1"/>
  <c r="AM73" i="1"/>
  <c r="AA185" i="1"/>
  <c r="Z186" i="1"/>
  <c r="Z179" i="1" s="1"/>
  <c r="Z180" i="1" s="1"/>
  <c r="X180" i="1" l="1"/>
  <c r="AB186" i="1"/>
  <c r="AB179" i="1" s="1"/>
  <c r="AA179" i="1"/>
  <c r="AJ186" i="1"/>
  <c r="Z191" i="1"/>
  <c r="AB180" i="1" l="1"/>
  <c r="Z194" i="1"/>
  <c r="AA191" i="1"/>
  <c r="T109" i="1"/>
  <c r="T185" i="1" l="1"/>
  <c r="V185" i="1"/>
  <c r="T180" i="1"/>
  <c r="S185" i="1"/>
  <c r="U185" i="1"/>
  <c r="V180" i="1"/>
  <c r="R180" i="1"/>
  <c r="V186" i="1" l="1"/>
  <c r="T18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Ilse Serneels</author>
  </authors>
  <commentList>
    <comment ref="AA1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telefoongesprek 31/1 - 13.000 uitgerekend + 2000 buffer</t>
        </r>
      </text>
    </comment>
    <comment ref="AL2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'oude budget' rekening inclusief 61514 verg RVB + Diner AV 61515 + tegemoetkoming Diner AV 70516
</t>
        </r>
      </text>
    </comment>
    <comment ref="AJ3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56.283,00 Vlaoi - financiering opgenomen boekhoudkundig maar niet ontvangen
</t>
        </r>
      </text>
    </comment>
    <comment ref="AA48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USB</t>
        </r>
      </text>
    </comment>
    <comment ref="AL5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Abonnementen en documentatie en kantoorbenodigdheden
</t>
        </r>
      </text>
    </comment>
    <comment ref="C179" authorId="0" shapeId="0" xr:uid="{B191F9F6-935A-4B13-81A6-77102DEFB738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Annexe 85 - nieuw project - internationaal energie agentschap samenwerking
</t>
        </r>
      </text>
    </comment>
    <comment ref="T183" authorId="0" shapeId="0" xr:uid="{A56CEA95-93D4-4A54-A173-F324A0B78777}">
      <text>
        <r>
          <rPr>
            <b/>
            <sz val="9"/>
            <color indexed="81"/>
            <rFont val="Tahoma"/>
            <family val="2"/>
          </rPr>
          <t>Ilse Serneels:</t>
        </r>
        <r>
          <rPr>
            <sz val="9"/>
            <color indexed="81"/>
            <rFont val="Tahoma"/>
            <family val="2"/>
          </rPr>
          <t xml:space="preserve">
2541 Ceref + 9680 JCJ
</t>
        </r>
      </text>
    </comment>
  </commentList>
</comments>
</file>

<file path=xl/sharedStrings.xml><?xml version="1.0" encoding="utf-8"?>
<sst xmlns="http://schemas.openxmlformats.org/spreadsheetml/2006/main" count="2061" uniqueCount="759">
  <si>
    <t>Telecommunicatie</t>
  </si>
  <si>
    <t>61010000</t>
  </si>
  <si>
    <t xml:space="preserve">Commissie technisch onderwijs           </t>
  </si>
  <si>
    <t>61624000</t>
  </si>
  <si>
    <t>70309000</t>
  </si>
  <si>
    <t>61321000</t>
  </si>
  <si>
    <t>Abonnementen en lidmaatschap</t>
  </si>
  <si>
    <t>Machines en informaticamat.</t>
  </si>
  <si>
    <t>Bijdragen individuele leden</t>
  </si>
  <si>
    <t>Bedrijfsbezoek</t>
  </si>
  <si>
    <t>61115000</t>
  </si>
  <si>
    <t>61000000</t>
  </si>
  <si>
    <t xml:space="preserve">Infrastructuur                          </t>
  </si>
  <si>
    <t>62311000</t>
  </si>
  <si>
    <t xml:space="preserve">Algemene administratie                  </t>
  </si>
  <si>
    <t xml:space="preserve">7         </t>
  </si>
  <si>
    <t>70308000</t>
  </si>
  <si>
    <t xml:space="preserve">11        </t>
  </si>
  <si>
    <t>61320000</t>
  </si>
  <si>
    <t>70307000</t>
  </si>
  <si>
    <t>62301000</t>
  </si>
  <si>
    <t>61281000</t>
  </si>
  <si>
    <t>70512000</t>
  </si>
  <si>
    <t>Vergadering-recepties</t>
  </si>
  <si>
    <t>Diverse Kosten Prijzen TO</t>
  </si>
  <si>
    <t>Meerw. op courante real. van mva</t>
  </si>
  <si>
    <t>61416000</t>
  </si>
  <si>
    <t>66400000</t>
  </si>
  <si>
    <t>61113000</t>
  </si>
  <si>
    <t>Bureaumateriaal &amp; drukwerk</t>
  </si>
  <si>
    <t xml:space="preserve">2         </t>
  </si>
  <si>
    <t>Andere Belastingen</t>
  </si>
  <si>
    <t>Catering</t>
  </si>
  <si>
    <t>Erelonen audit</t>
  </si>
  <si>
    <t>Print syllabussen voor lessen</t>
  </si>
  <si>
    <t>Huur zaal Conferentie</t>
  </si>
  <si>
    <t xml:space="preserve">Conferentie april 2018                  </t>
  </si>
  <si>
    <t>61271000</t>
  </si>
  <si>
    <t>Inschrijvingen cyclus I</t>
  </si>
  <si>
    <t>61415000</t>
  </si>
  <si>
    <t>70617000</t>
  </si>
  <si>
    <t xml:space="preserve">Commissie conferenties                  </t>
  </si>
  <si>
    <t>70490000</t>
  </si>
  <si>
    <t>Afschr. personenwagens</t>
  </si>
  <si>
    <t xml:space="preserve">Belasting op het resultaat              </t>
  </si>
  <si>
    <t>Bijdragen aan Sodexo</t>
  </si>
  <si>
    <t>61244000</t>
  </si>
  <si>
    <t>62111000</t>
  </si>
  <si>
    <t>70596000</t>
  </si>
  <si>
    <t xml:space="preserve">15        </t>
  </si>
  <si>
    <t>70510000</t>
  </si>
  <si>
    <t>Verzekering BA</t>
  </si>
  <si>
    <t>Roerende voorheffing</t>
  </si>
  <si>
    <t>70616000</t>
  </si>
  <si>
    <t xml:space="preserve">Afschrijvingen                          </t>
  </si>
  <si>
    <t>Verzendingskosten</t>
  </si>
  <si>
    <t xml:space="preserve">5         </t>
  </si>
  <si>
    <t>Eco cheques</t>
  </si>
  <si>
    <t>Bankkosten</t>
  </si>
  <si>
    <t>Informatica prestaties</t>
  </si>
  <si>
    <t>61243000</t>
  </si>
  <si>
    <t>61413000</t>
  </si>
  <si>
    <t>61260000</t>
  </si>
  <si>
    <t>74100000</t>
  </si>
  <si>
    <t>Betalingsverschillen debet</t>
  </si>
  <si>
    <t>61242000</t>
  </si>
  <si>
    <t xml:space="preserve">Lidgelden                               </t>
  </si>
  <si>
    <t>70594000</t>
  </si>
  <si>
    <t>65021000</t>
  </si>
  <si>
    <t xml:space="preserve">Personeel                               </t>
  </si>
  <si>
    <t>Opbr. kredietinstellingen</t>
  </si>
  <si>
    <t>Andere uitzonderlijke kosten</t>
  </si>
  <si>
    <t>61412000</t>
  </si>
  <si>
    <t>64017000</t>
  </si>
  <si>
    <t>Afschr. op meubil. en rol.mat.</t>
  </si>
  <si>
    <t>61241000</t>
  </si>
  <si>
    <t>EES boek</t>
  </si>
  <si>
    <t>67010000</t>
  </si>
  <si>
    <t>61517000</t>
  </si>
  <si>
    <t>Studiedag Conferentie</t>
  </si>
  <si>
    <t>61205000</t>
  </si>
  <si>
    <t>65501000</t>
  </si>
  <si>
    <t>61231000</t>
  </si>
  <si>
    <t>Deelname kosten</t>
  </si>
  <si>
    <t>Opbr. oblig. en kasbons</t>
  </si>
  <si>
    <t xml:space="preserve">Commissie prijzen                       </t>
  </si>
  <si>
    <t xml:space="preserve">3         </t>
  </si>
  <si>
    <t>Huur zalen, uitrusting, pauzes</t>
  </si>
  <si>
    <t>63024000</t>
  </si>
  <si>
    <t>61204000</t>
  </si>
  <si>
    <t>Brandstof bedrijfswagen</t>
  </si>
  <si>
    <t>Recuperatie bedrijfskosten</t>
  </si>
  <si>
    <t xml:space="preserve">10        </t>
  </si>
  <si>
    <t xml:space="preserve">Project 2020                            </t>
  </si>
  <si>
    <t>Prijs ATIC - Marcel Herman</t>
  </si>
  <si>
    <t>70679000</t>
  </si>
  <si>
    <t>61203000</t>
  </si>
  <si>
    <t>Onderhoud &amp; tax bedrijfswagen</t>
  </si>
  <si>
    <t>63024100</t>
  </si>
  <si>
    <t>Diverse inkomsten</t>
  </si>
  <si>
    <t xml:space="preserve">13        </t>
  </si>
  <si>
    <t xml:space="preserve">6         </t>
  </si>
  <si>
    <t>Internet Site</t>
  </si>
  <si>
    <t>61540000</t>
  </si>
  <si>
    <t>61317000</t>
  </si>
  <si>
    <t>61202000</t>
  </si>
  <si>
    <t xml:space="preserve">16        </t>
  </si>
  <si>
    <t>Verzekering bedrijfswagen</t>
  </si>
  <si>
    <t>75140000</t>
  </si>
  <si>
    <t>61334000</t>
  </si>
  <si>
    <t>61513000</t>
  </si>
  <si>
    <t>Verzekeringen locaal</t>
  </si>
  <si>
    <t>Reclame, gelogotiseerde giften</t>
  </si>
  <si>
    <t>61316000</t>
  </si>
  <si>
    <t>Geschenken aan derden</t>
  </si>
  <si>
    <t>Prestaties boekhouder</t>
  </si>
  <si>
    <t xml:space="preserve">1         </t>
  </si>
  <si>
    <t xml:space="preserve">9         </t>
  </si>
  <si>
    <t>Parking</t>
  </si>
  <si>
    <t>63020000</t>
  </si>
  <si>
    <t>61315000</t>
  </si>
  <si>
    <t>Vergoeding professoren</t>
  </si>
  <si>
    <t>Omschrijving</t>
  </si>
  <si>
    <t>70517000</t>
  </si>
  <si>
    <t>Diverse erelonen</t>
  </si>
  <si>
    <t>Huur Bureau Leuven</t>
  </si>
  <si>
    <t>62020000</t>
  </si>
  <si>
    <t>61332000</t>
  </si>
  <si>
    <t>75120000</t>
  </si>
  <si>
    <t>Reizen en verplaatsingen</t>
  </si>
  <si>
    <t>61314000</t>
  </si>
  <si>
    <t>Catering Studiedag / Conferentie</t>
  </si>
  <si>
    <t>Afschr. imm. vaste activa</t>
  </si>
  <si>
    <t>63010000</t>
  </si>
  <si>
    <t>Inschrijvingen cyclus II</t>
  </si>
  <si>
    <t>61002000</t>
  </si>
  <si>
    <t>62313000</t>
  </si>
  <si>
    <t>Werkgeversbijdragen</t>
  </si>
  <si>
    <t>Verplaatsingskosten leraars</t>
  </si>
  <si>
    <t>Resultaat 2018</t>
  </si>
  <si>
    <t>Uitgaven</t>
  </si>
  <si>
    <t>Ontvangsten</t>
  </si>
  <si>
    <t>totaal</t>
  </si>
  <si>
    <t>67000000</t>
  </si>
  <si>
    <t>Resultaat 2017</t>
  </si>
  <si>
    <t xml:space="preserve">Recuperatie verzekeringen </t>
  </si>
  <si>
    <t>Inschrijvingen cyclus III</t>
  </si>
  <si>
    <t>Outdoor training</t>
  </si>
  <si>
    <t>Heffing op patrionium</t>
  </si>
  <si>
    <t>Winst</t>
  </si>
  <si>
    <t>Verlies</t>
  </si>
  <si>
    <t>Butget 2019</t>
  </si>
  <si>
    <t>pixii</t>
  </si>
  <si>
    <t>Saldo</t>
  </si>
  <si>
    <t xml:space="preserve">Belastingen </t>
  </si>
  <si>
    <t>Rekening</t>
  </si>
  <si>
    <t>Diverse Kosten Prijzen</t>
  </si>
  <si>
    <t xml:space="preserve">  </t>
  </si>
  <si>
    <t>Studiedag Conferentie/ Rendez Vous</t>
  </si>
  <si>
    <t>Bedienden Bruto</t>
  </si>
  <si>
    <t xml:space="preserve">Resultaat 2019 </t>
  </si>
  <si>
    <t>Butget 2020</t>
  </si>
  <si>
    <t>Catering algemene vergadering</t>
  </si>
  <si>
    <t>Uitnodiging en onkosten BB</t>
  </si>
  <si>
    <t>Bijdragen aan Acerta</t>
  </si>
  <si>
    <t>Uitnodiging en diverse kosten</t>
  </si>
  <si>
    <t>Financiële kosten en opbrengsten</t>
  </si>
  <si>
    <t>(*)</t>
  </si>
  <si>
    <t>Informaticamateriaal &amp; Software - Syscom</t>
  </si>
  <si>
    <t>Informatica prestaties - Videoverslag</t>
  </si>
  <si>
    <t>Resultaat 2020</t>
  </si>
  <si>
    <t>Publicatie BS</t>
  </si>
  <si>
    <t>Vergoeding professoren cyclus II</t>
  </si>
  <si>
    <t>Tem 31/12/2020</t>
  </si>
  <si>
    <t>Bankkosten / transactiekosten</t>
  </si>
  <si>
    <t>Andere personeelskosten</t>
  </si>
  <si>
    <t>Diverse inkomsten - IWT afrekening</t>
  </si>
  <si>
    <t>Diverse inkomsten - Instal. 2020 afrekening</t>
  </si>
  <si>
    <t>Budget 2021</t>
  </si>
  <si>
    <t>Maaltijdcheques</t>
  </si>
  <si>
    <t>inclusief voorziening vakantiegeld, vaa, verzekeringen</t>
  </si>
  <si>
    <t>Vergoeding professoren cyclus III</t>
  </si>
  <si>
    <t>rvb + av+ rekeningtoezichters diner</t>
  </si>
  <si>
    <t>kosten josiane</t>
  </si>
  <si>
    <t>Resultaat 2021</t>
  </si>
  <si>
    <t>boekjaar 2020</t>
  </si>
  <si>
    <t>boekjaar 2018</t>
  </si>
  <si>
    <t>bilan resultaat</t>
  </si>
  <si>
    <t>ontvangen</t>
  </si>
  <si>
    <t>Erelonen Audit</t>
  </si>
  <si>
    <t>Afschr. Gebouwen</t>
  </si>
  <si>
    <t>Resultaat 2022</t>
  </si>
  <si>
    <t>Budget 2022</t>
  </si>
  <si>
    <t>zaal</t>
  </si>
  <si>
    <t>incl btw</t>
  </si>
  <si>
    <t>zalen en catering opzet</t>
  </si>
  <si>
    <t>sanitair deel 1</t>
  </si>
  <si>
    <t>50% incl btw 121%</t>
  </si>
  <si>
    <t>cyclus 1</t>
  </si>
  <si>
    <t>cyclus 2</t>
  </si>
  <si>
    <t>11 dagen + examen</t>
  </si>
  <si>
    <t>9 dagen + examen</t>
  </si>
  <si>
    <t xml:space="preserve">cyclus 4D </t>
  </si>
  <si>
    <t xml:space="preserve">uitgaande van 30 personen per cyclus (1 en 2 en sanitair) + cyclus 4D reeds gefactureerd </t>
  </si>
  <si>
    <t>cyclus 4D = 15060 euro</t>
  </si>
  <si>
    <t>cyclus 2 = 68400 euro (gemiddelde hoogste en laagste inschrijvingstarief x 30)</t>
  </si>
  <si>
    <t>cyclus sanitair = 23 850 euro (gemiddelde hoogste en laagste inschrijvingstarief x 30)</t>
  </si>
  <si>
    <t>incl btw voor alle cyclci samen</t>
  </si>
  <si>
    <t>catering cyclus 1</t>
  </si>
  <si>
    <t>catering cyclus 2</t>
  </si>
  <si>
    <t>catering san cyclus</t>
  </si>
  <si>
    <t>catering cyclus 4D + workshop</t>
  </si>
  <si>
    <t xml:space="preserve">incl btw </t>
  </si>
  <si>
    <t xml:space="preserve">Internet Site (*1) </t>
  </si>
  <si>
    <t>(1*)</t>
  </si>
  <si>
    <t>(2*)</t>
  </si>
  <si>
    <t>bruto</t>
  </si>
  <si>
    <t>groepsverzekering</t>
  </si>
  <si>
    <t>verzekerin</t>
  </si>
  <si>
    <t xml:space="preserve">andere personeelskostn </t>
  </si>
  <si>
    <t>Back services (uitzonderlijk interim jaar)</t>
  </si>
  <si>
    <t>Diverse Erelonen</t>
  </si>
  <si>
    <t>Berekening lonen - Budget 2022</t>
  </si>
  <si>
    <t xml:space="preserve">maandloon van januari is </t>
  </si>
  <si>
    <t>12 en de 13de maand + 23% voor vakentiegeld</t>
  </si>
  <si>
    <t>VAA wagen</t>
  </si>
  <si>
    <t>Inschrijvingen cyclus IV - a/b/c</t>
  </si>
  <si>
    <t>Inschrijvingen cyclus IV - d</t>
  </si>
  <si>
    <t>ZAAL + CATERING CYCLUS 1 OP BASIS VAN 25 INSCHRIJVINGEN</t>
  </si>
  <si>
    <t>ZAAL + CATERING SANITAIRE CYCLUS DEEL 1 OP BASIS VAN 30 INSCHRIJVINGEN</t>
  </si>
  <si>
    <t>UITGAVEN BUITEN LERAARS</t>
  </si>
  <si>
    <t>ZAAL + CATERING CYCLUS 2 OP BASIS VAN 30 INSCHRIJVINGEN</t>
  </si>
  <si>
    <t>* HIERIN ZITTEN OOK WEL EEN PAAR DAGEN VAN WORKSHOP EN EXAMEN 4B en 4D 2021</t>
  </si>
  <si>
    <t>ZAAL + CATERING CYCLUS 4D WERKELIJKE CIJFERS - REEDS GEFACTUREERD*2022</t>
  </si>
  <si>
    <t>VERGOEDING LERAARS</t>
  </si>
  <si>
    <t>HYPOTHESE INSCHRIJVINGEN ET 2022</t>
  </si>
  <si>
    <t>TABELLEN VOOR REKENOEFENING VERONIQUE</t>
  </si>
  <si>
    <t>cyclus 1 = 62 500 euro (gemiddelde van hoogste en laagste tarief cf website x 25)</t>
  </si>
  <si>
    <t>Vergoeding prof cyclus I</t>
  </si>
  <si>
    <t>Administratie: 1772373 - ATIC VZW</t>
  </si>
  <si>
    <t>Datum: 4 maart 2022 door Ilse Serneels</t>
  </si>
  <si>
    <t xml:space="preserve"> Historiek|Kostenplaats</t>
  </si>
  <si>
    <t xml:space="preserve">    </t>
  </si>
  <si>
    <t>Kostenplaats</t>
  </si>
  <si>
    <t>2 - 2 (2) - Commissie technisch onderwijs</t>
  </si>
  <si>
    <t>Grootboekrekeningtype</t>
  </si>
  <si>
    <t xml:space="preserve"> </t>
  </si>
  <si>
    <t>Groepeer op</t>
  </si>
  <si>
    <t>Onverwerkt</t>
  </si>
  <si>
    <t>v</t>
  </si>
  <si>
    <t>Boekjaar</t>
  </si>
  <si>
    <t>Periode</t>
  </si>
  <si>
    <t>Nr.</t>
  </si>
  <si>
    <t>Per.</t>
  </si>
  <si>
    <t>Datum</t>
  </si>
  <si>
    <t>Bkst.nr.</t>
  </si>
  <si>
    <t>Dagboek</t>
  </si>
  <si>
    <t>Grootboekrekening</t>
  </si>
  <si>
    <t>Debet</t>
  </si>
  <si>
    <t>Credit</t>
  </si>
  <si>
    <t>10 - Bnp be96 2300 1003 8005</t>
  </si>
  <si>
    <t>70679000 - Inschrijvingen cyclus iv</t>
  </si>
  <si>
    <t>FLAKTGROUP BELGIUM NV               F 2021287</t>
  </si>
  <si>
    <t>4A</t>
  </si>
  <si>
    <t>SODEXO PASS BELGIUM SA              SPR000019720652989 2021K</t>
  </si>
  <si>
    <t>DPS GROUP BELGIUM B V               INVOICE 2021302</t>
  </si>
  <si>
    <t>SODEXO PASS BELGIUM SA              SPR000019720211548 2021K</t>
  </si>
  <si>
    <t>LOJEGA SC                           2021296</t>
  </si>
  <si>
    <t>LOJEGA SC                           2021297</t>
  </si>
  <si>
    <t>SODEXO PASS BELGIUM SA              SPR000019734544923 2021K</t>
  </si>
  <si>
    <t>SODEXO PASS BELGIUM SA              SPR000019742708114 2021K</t>
  </si>
  <si>
    <t>DAIKIN AIRCONDITIONING BELGIUM NV   /INV/2021299 29.9.2021</t>
  </si>
  <si>
    <t>STADSBESTUUR VAN AALST              2021294 29/09/2021 VERNI</t>
  </si>
  <si>
    <t>VK ENGINEERING                      2021300</t>
  </si>
  <si>
    <t>SODEXO PASS BELGIUM SA              SPR000019827728389 2021K</t>
  </si>
  <si>
    <t>4B</t>
  </si>
  <si>
    <t>BUREAU D EXPERTS PH.                2021316</t>
  </si>
  <si>
    <t>AE+ENGINEERING BV                   FACTUURNR 2021308</t>
  </si>
  <si>
    <t>SODEXO PASS BELGIUM SA              SPR000019932745721 2021K</t>
  </si>
  <si>
    <t>SWECO BELGIUM BV                    2021301</t>
  </si>
  <si>
    <t>SWECO BELGIUM BV                    2021313</t>
  </si>
  <si>
    <t>GUINOTTE FRANCOIS                   FACTURE 2021319</t>
  </si>
  <si>
    <t>4C</t>
  </si>
  <si>
    <t>ARCADIS BELGIUM NV                  2021307</t>
  </si>
  <si>
    <t>INGENIUM NV                         2021318</t>
  </si>
  <si>
    <t>SODEXO PASS BELGIUM SA              SPR000019986258396 2021K</t>
  </si>
  <si>
    <t>4ABC</t>
  </si>
  <si>
    <t>VIESSMANN GROUP GMBH + CO. KG       KTO BEI IHNEN 609990889,</t>
  </si>
  <si>
    <t>SWECO BELGIUM BV                    2021321</t>
  </si>
  <si>
    <t>SODEXO PASS BELGIUM SA              SPR000020021638881 2021K</t>
  </si>
  <si>
    <t>SODEXO PASS BELGIUM SA              SPR000020038269563 2021K</t>
  </si>
  <si>
    <t>4c</t>
  </si>
  <si>
    <t>SODEXO PASS BELGIUM SA              SPR000020038228522 2021K</t>
  </si>
  <si>
    <t>T.P.F. ENGINEERING S A              FA 2021329</t>
  </si>
  <si>
    <t>T.P.F. ENGINEERING S A              FA 2021314</t>
  </si>
  <si>
    <t>4b</t>
  </si>
  <si>
    <t>STUDIEBUREAU BOYDENS RAYMOND        FACT 2021288</t>
  </si>
  <si>
    <t>4a</t>
  </si>
  <si>
    <t>STUDIEBUREAU BOYDENS RAYMOND        FACT 2021306</t>
  </si>
  <si>
    <t>80 - Diverse posten</t>
  </si>
  <si>
    <t>etex building 2021058</t>
  </si>
  <si>
    <t>flaktgroup 2021324+2021304</t>
  </si>
  <si>
    <t>arcadis belgium 2021289</t>
  </si>
  <si>
    <t>denys 2021311/2021295</t>
  </si>
  <si>
    <t>lojega rwankubili</t>
  </si>
  <si>
    <t>federation wallonie</t>
  </si>
  <si>
    <t>denys eddy vlaeminck</t>
  </si>
  <si>
    <t>VINCO DEVELOPMENTS BVBA             FACT2021189-CN2021331</t>
  </si>
  <si>
    <r>
      <rPr>
        <b/>
        <sz val="10"/>
        <color theme="1"/>
        <rFont val="Arial"/>
        <family val="2"/>
      </rPr>
      <t xml:space="preserve"> Historiek|Grootboekrekening</t>
    </r>
  </si>
  <si>
    <t xml:space="preserve">        </t>
  </si>
  <si>
    <t>61315000 - Vergoeding professoren</t>
  </si>
  <si>
    <t>1 - 12</t>
  </si>
  <si>
    <t>Relatie</t>
  </si>
  <si>
    <t>CFAAN - Cf aankopen</t>
  </si>
  <si>
    <t>Cyclus 2</t>
  </si>
  <si>
    <t>10123 - VERHAERT IVAN</t>
  </si>
  <si>
    <t>Cyclus 3</t>
  </si>
  <si>
    <t>10077 - Masy Gabrielle</t>
  </si>
  <si>
    <t>cyclus 3</t>
  </si>
  <si>
    <t>Cylus 3</t>
  </si>
  <si>
    <t>10037 - Thermiek</t>
  </si>
  <si>
    <t>10132 - WTCB</t>
  </si>
  <si>
    <t>Cyclus 3 prestatie</t>
  </si>
  <si>
    <t>10100 - REYNAERT CARL</t>
  </si>
  <si>
    <t>10063 - KAISER XAVIER</t>
  </si>
  <si>
    <t>10091 - PONCELET ETIENNE A G</t>
  </si>
  <si>
    <t>cyclus 3 prestaties</t>
  </si>
  <si>
    <t>10114 - TIMMERMANS JOHAN</t>
  </si>
  <si>
    <t>cylcus 3</t>
  </si>
  <si>
    <t>10138 - De Pauw Margot</t>
  </si>
  <si>
    <t>10021 - Belghith Karim</t>
  </si>
  <si>
    <t>10137 - Alves Jorge</t>
  </si>
  <si>
    <t>10117 - Tusset Sylvano</t>
  </si>
  <si>
    <t>10046 - D-KONSULD</t>
  </si>
  <si>
    <t>Sanitair</t>
  </si>
  <si>
    <t>10012 - Association Nationale Pour La Protection</t>
  </si>
  <si>
    <t>10049 - ENTEG</t>
  </si>
  <si>
    <t>10158 - Emx Bvba</t>
  </si>
  <si>
    <t>10122 - Verbandt, Filip</t>
  </si>
  <si>
    <t>akoestiek</t>
  </si>
  <si>
    <t>10076 - Marbaix Jean Claude</t>
  </si>
  <si>
    <t>10162 - Fire Tec Bvba</t>
  </si>
  <si>
    <t>Cyclus 4A</t>
  </si>
  <si>
    <t>10084 - Optimizzed Vof</t>
  </si>
  <si>
    <t xml:space="preserve">Cyclus 4 </t>
  </si>
  <si>
    <t>cycle 4</t>
  </si>
  <si>
    <t>Cyclus 4C</t>
  </si>
  <si>
    <t>10165 - Torfs Christine</t>
  </si>
  <si>
    <t>Cyclus 4</t>
  </si>
  <si>
    <t>10166 - abdelkader Boutemadja</t>
  </si>
  <si>
    <t>Cyclus 4B</t>
  </si>
  <si>
    <t>10169 - De Bolster Ellen</t>
  </si>
  <si>
    <t>10168 - Ruben Vos</t>
  </si>
  <si>
    <t xml:space="preserve">cyclus 3 </t>
  </si>
  <si>
    <t>cyclus 4c</t>
  </si>
  <si>
    <t>10175 - Bastien Mercenier</t>
  </si>
  <si>
    <t>10174 - Gregory Tack</t>
  </si>
  <si>
    <t>10173 - Ismael Daoud</t>
  </si>
  <si>
    <t>10172 - Carmen Decrock</t>
  </si>
  <si>
    <t>10170 - Dietrich Schildermans</t>
  </si>
  <si>
    <t>10171 - Matthias Zuliani</t>
  </si>
  <si>
    <t>Totaal</t>
  </si>
  <si>
    <t>Eindsaldo</t>
  </si>
  <si>
    <t>Vergoeding professoren cyclus IV - A/B/C</t>
  </si>
  <si>
    <t>1 (1) - Algemene administratie</t>
  </si>
  <si>
    <t>CFAAN</t>
  </si>
  <si>
    <t>Afschrijvingen gebouwen</t>
  </si>
  <si>
    <t>Afschrijving: 2022 - 4</t>
  </si>
  <si>
    <t>Uitgesteld 20210261 18/12/2021- 18-12-2021-17-12-2022 30/365</t>
  </si>
  <si>
    <t>Bijdragen aan sociaal secretariaat</t>
  </si>
  <si>
    <t>Afschrijvingen installaties, machines en uitrusting</t>
  </si>
  <si>
    <t>Informaticamateriaal &amp; software</t>
  </si>
  <si>
    <t>Erelonen</t>
  </si>
  <si>
    <t>KBC-VERZEKERINGEN                   POL.53528959 VERVALD. PR</t>
  </si>
  <si>
    <t>VAN MAELE NV                        F.2022088</t>
  </si>
  <si>
    <t>9 (9) - Personeel</t>
  </si>
  <si>
    <t>Maaltijdcheques + eco cheques</t>
  </si>
  <si>
    <t>Groepsverzekering</t>
  </si>
  <si>
    <t>GAETANO MINERVA                     PRIX LAUREAT CYCLE 2 - 2</t>
  </si>
  <si>
    <t>STUDIEBUREAU VIAENE BV              WEBINAR : WATERSTOF : OP</t>
  </si>
  <si>
    <t>SWECO BELGIUM BV                    WEBINAR 27/04-WATERSTOF</t>
  </si>
  <si>
    <t>VANPOUCKE YVES                      WATERSTOF WEBINAR 27/4 -</t>
  </si>
  <si>
    <t>5 (5) - Commissie prijzen</t>
  </si>
  <si>
    <t>Prijs atic - marcel herman</t>
  </si>
  <si>
    <t>3 (3) - Commissie conferenties</t>
  </si>
  <si>
    <t>Studiedag 1</t>
  </si>
  <si>
    <t>DEEN ERIK                           ERIK DEEN H2 WEBINAR</t>
  </si>
  <si>
    <t>MRS THAIS ARAUJO LOPES              WEBINAR APRIL 2022 GYBEL</t>
  </si>
  <si>
    <t>UREEL THOMAS                        LAUREAT CYCLE 2 - 2020 -</t>
  </si>
  <si>
    <t>LIEVEN DEKEUKELEIRE                 LAUREAATSPRIJS VOOR CYCL</t>
  </si>
  <si>
    <t>MARBAIX - LOY                       WEBINAR ISABEL FRANCOIS</t>
  </si>
  <si>
    <t>BREHAIN DAVID                       WEBINAIRE HYDROGENE ATIC</t>
  </si>
  <si>
    <t>Bijdrage bedrijfsleden</t>
  </si>
  <si>
    <t>RF TECHNOLOGIES NV</t>
  </si>
  <si>
    <t>DE BEUKELAER JEAN                   WEBINAR APRIL 2022</t>
  </si>
  <si>
    <t>LARS VANDEVELDE                     LAUREAATSPRIJS VOOR CYCL</t>
  </si>
  <si>
    <t>M.G GROUP BELGIUM SA                M G GROUP - JAN DOCKX</t>
  </si>
  <si>
    <t>CONCEPT CONTROL SA                  WEBINAR 27/04/2022 - HYD</t>
  </si>
  <si>
    <t>UZ LEUVEN GASTHUISBERG              UW REF : 2022208</t>
  </si>
  <si>
    <t>2 (2) - Commissie technisch onderwijs</t>
  </si>
  <si>
    <t>Inschrijvingen cyclus IV - A/B/C</t>
  </si>
  <si>
    <t>UNGER/CPTE ETUDE                    COTISATION MEMBRE INDIVI</t>
  </si>
  <si>
    <t>LIEVEN DEKEUKELEIRE                 LAUREAATSPRIJS CYCLUS 4D</t>
  </si>
  <si>
    <t>Drukwerken</t>
  </si>
  <si>
    <t>aanpassing poster 2022</t>
  </si>
  <si>
    <t>LUKOIL 135 KESSE KESSEL LO          LUKOIL 135 KESSE KESSEL</t>
  </si>
  <si>
    <t>STARCK CHRISTOPHE                   FACTURE 2022191</t>
  </si>
  <si>
    <t>VIESSMANN-BELGIUM BVBA              WEBINAR WATERSTOF 27/04</t>
  </si>
  <si>
    <t>cyclus II</t>
  </si>
  <si>
    <t>action</t>
  </si>
  <si>
    <t>CENTRE SCIENTIFIQUE ET TEC          2022091</t>
  </si>
  <si>
    <t>DPS GROUP BELGIUM B V               INVOICE 2022111</t>
  </si>
  <si>
    <t>CENTRE SCIENTIFIQUE ET TEC          2022055</t>
  </si>
  <si>
    <t>Bedienden bruto</t>
  </si>
  <si>
    <t>Wedden bedienden, Salaires employés + 202203</t>
  </si>
  <si>
    <t>Persoonlijke bijdragen groepsverzekering, Cotisations person</t>
  </si>
  <si>
    <t>Kosten eigen aan werkgever bedienden, Frais propres à l'empl</t>
  </si>
  <si>
    <t>Kosten eigen a/werkg. - reis/verbl. bed., Fr. propres à l'em</t>
  </si>
  <si>
    <t>Werkgeversbijdragen RSZ bedienden, Cotisations patronales ON</t>
  </si>
  <si>
    <t>Verplaatsingsk. woonpl./werk bedienden, Frais dépl.domicile/</t>
  </si>
  <si>
    <t>Recup. voordelen alle aard - wagen, Récup. avantages toute n</t>
  </si>
  <si>
    <t>Persoonlijke bijdragen maaltijdcheques, Cotisations personne</t>
  </si>
  <si>
    <t>ETEX BUILDING PERFORMANCE NV        /2022163  24.2.2022</t>
  </si>
  <si>
    <t>VIESSMANN-BELGIUM BVBA              WEBINAR ISABEL FRANCOIS</t>
  </si>
  <si>
    <t>UNIVERSITEIT ANTWERPEN              2022159</t>
  </si>
  <si>
    <t>MAERTENS - CARRETTE                 WEBINAR WATERSTOF</t>
  </si>
  <si>
    <t>Uitgesteld 20210074 betaling do 15-04-2021-15-04-2022 15/366</t>
  </si>
  <si>
    <t>CLIMAPAC BVBA                       2022106</t>
  </si>
  <si>
    <t>AE+ENGINEERING BV                   'WEBINAR ISABEL FRANCOIS</t>
  </si>
  <si>
    <t>SECO BELGIUM SA                     2022177</t>
  </si>
  <si>
    <t>ABT-BELGIE BV                       LIDGELD 2022</t>
  </si>
  <si>
    <t>EMAZE BV                            FACTUUR 2022208</t>
  </si>
  <si>
    <t>Bijdragen aan sodexo</t>
  </si>
  <si>
    <t>sodexo</t>
  </si>
  <si>
    <t>#23 x â‚¬ 8,00</t>
  </si>
  <si>
    <t>BOSCH THERMOTECHNOLOGY NV           /INV/2022167 24.2.2022</t>
  </si>
  <si>
    <t>PRASMAN ELISABETH                   WEBINAR ISABEL FRANCOIS</t>
  </si>
  <si>
    <t>CONSULTING CB COMMV                 WEBINAR WATERSTOF 27-04-</t>
  </si>
  <si>
    <t>HAMSTER CLEANING NV                 2022118</t>
  </si>
  <si>
    <t>WEISHAUPT NV                        WEBINAR 27-04 BRUNO DEWI</t>
  </si>
  <si>
    <t>VERO DUCO NV                        FACTUUR 2022188</t>
  </si>
  <si>
    <t>TAC NV                              2022135</t>
  </si>
  <si>
    <t>TRACTEBEL ENGINEERING SA            WEB. LIEFOOGHE//WEB. VAN</t>
  </si>
  <si>
    <t>Mededeling:  Rekeningnummer:  Verrichtingscode: (08009000) P</t>
  </si>
  <si>
    <t>IMTECH BELGIUM NV                   FACT.2022173/LIDMAATS.20</t>
  </si>
  <si>
    <t>EMIEL BV                            F2022069 - EMIEL DENIES</t>
  </si>
  <si>
    <t>VINCO DEVELOPMENTS BVBA             2022137</t>
  </si>
  <si>
    <t>INGENIUM NV                         FACT 2022120</t>
  </si>
  <si>
    <t>DABESTAN GHOLAM                     CYCLE 1-2022 DABESTAN</t>
  </si>
  <si>
    <t>GOESSENS JEAN-PIERRE                COTISATION 2022</t>
  </si>
  <si>
    <t>Inschrijvingen cyclus i</t>
  </si>
  <si>
    <t>7340 DATS 24 HAA LEUVEN             7340 DATS 24 HAA LEUVEN</t>
  </si>
  <si>
    <t>KRIVARO TECHNICS                    2022124</t>
  </si>
  <si>
    <t>GEROME FORTHOMME                    VOOR VALERY FORTUNE - LA</t>
  </si>
  <si>
    <t>CENERGIE NV                         FACTUUR 2022105</t>
  </si>
  <si>
    <t>ARCADIS BELGIUM NV                  2022165</t>
  </si>
  <si>
    <t>IR. P. POELMANS STUDIEBUREAU BVBA   FACT 2022129</t>
  </si>
  <si>
    <t>KATHOLIEKE UNIVERSITEIT LEUVEN      2022075 A220024233</t>
  </si>
  <si>
    <t>REGIE DER GEBOUWEN REGIE DES BATIME 2022158</t>
  </si>
  <si>
    <t>UREEL THOMAS                        UW LAUREAATSPRIJS CYCLUS</t>
  </si>
  <si>
    <t>SODEXO PASS BELGIUM SA              SPR000020574706614 2022K</t>
  </si>
  <si>
    <t>STADSBESTUUR GENT                   2022206 2340,00 /</t>
  </si>
  <si>
    <t>AFPRO FILTERS BVBA                  2022149</t>
  </si>
  <si>
    <t>ATLANTIC BELGIUM S A                /INV/2022166 24.2.2022</t>
  </si>
  <si>
    <t>STADSBESTUUR BRUGGE                 2022080</t>
  </si>
  <si>
    <t>Internet site</t>
  </si>
  <si>
    <t>provisie april 2022</t>
  </si>
  <si>
    <t>M PATRICK DE VISSCHER               COTISATION 2022 / FACTUR</t>
  </si>
  <si>
    <t>HOPTIMIZE SRL                       FACTURE 2022190 - FORMAT</t>
  </si>
  <si>
    <t>7 (7) - Infrastructuur</t>
  </si>
  <si>
    <t>Huur bureau leuven</t>
  </si>
  <si>
    <t>SODEXO PASS BELGIUM SA              SPR000020561702571 2022K</t>
  </si>
  <si>
    <t>JANSSENS BART                       FACTUUR 2022054</t>
  </si>
  <si>
    <t>STG MOLLIE PAYMENTS                 REF T09617121.2204.01</t>
  </si>
  <si>
    <t>DEROUAUX TSHIENZA                   FACTURE NO 2022208</t>
  </si>
  <si>
    <t>1cka891</t>
  </si>
  <si>
    <t>Uitgesteld 20210261 18/12/2021- 18-12-2021-17-12-2022 31/365</t>
  </si>
  <si>
    <t>R. VAESEN BV                        WEBINAR ISABEL FRANCOIS</t>
  </si>
  <si>
    <t>M FRANCOIS GUINOTTE                 COTISATION 2022 FACTURE</t>
  </si>
  <si>
    <t>MENERGA NV                          2022125</t>
  </si>
  <si>
    <t>Afschrijving: 2022 - 3</t>
  </si>
  <si>
    <t>AIRG SPRL                           FACTURE 2022074</t>
  </si>
  <si>
    <t>Uitgesteld 20210074 betaling do 15-04-2021-15-04-2022 31/366</t>
  </si>
  <si>
    <t>GODARD DOURET                       FACTURE 2022036 COTISATI</t>
  </si>
  <si>
    <t>ELACON BV                           FACTUUR NR 2022113</t>
  </si>
  <si>
    <t>IMTECH BELGIUM NV                   WEBINAR-WATERSTOF-OPPORT</t>
  </si>
  <si>
    <t>SWECO BELGIUM BV                    2022179</t>
  </si>
  <si>
    <t>HOPTIMIZE SRL                       WEBINAR ISABEL FRANCOIS</t>
  </si>
  <si>
    <t>T. PALM SA                          FACTURE N 2022207</t>
  </si>
  <si>
    <t>IMTECH BELGIUM NV                   WEBINAR APRIL-RAF GUBBEL</t>
  </si>
  <si>
    <t>AIKO ARCHITECTEN EN INGENIEURS CV(B FACTUUR 2022099</t>
  </si>
  <si>
    <t>GOESSENS JEAN-PIERRE                COTISATION 2022 RETRAITE</t>
  </si>
  <si>
    <t>ELCO BELGIUM SA                     COMPTE CHEZNO 2022153/24</t>
  </si>
  <si>
    <t>NMBS / SNCB                         2022199</t>
  </si>
  <si>
    <t>KG TEG COMM.V                       FACTUUR 2022073</t>
  </si>
  <si>
    <t>DAVID - VANDER VEKEN                FACTUUR N  2022082 - LID</t>
  </si>
  <si>
    <t>KAY NV                              2022122</t>
  </si>
  <si>
    <t>DE SMET PAUL                        FACTUUR NR 2022029</t>
  </si>
  <si>
    <t>ABETEC ARCHITECTEN &amp; INGEN          2022150</t>
  </si>
  <si>
    <t>KIEBACK &amp; PETER BELGIUM BV          FACTUUR 2022123</t>
  </si>
  <si>
    <t>GODARD DOURET                       WEBINAR ISABEL FRANCOIS</t>
  </si>
  <si>
    <t>DUBOIS JONATHAN                     FACTURE 2022022</t>
  </si>
  <si>
    <t>TRACTEBEL ENGINEERING SA            2022181//</t>
  </si>
  <si>
    <t>Verkeersbelasting personenwagens</t>
  </si>
  <si>
    <t>ARTEX INGENIEURS EN ARCHITECTEN BV  F 2022100 LIDMAATSCHAP</t>
  </si>
  <si>
    <t>ALLIANZ BENELUX SA                  2022076</t>
  </si>
  <si>
    <t>THYS JOSEPH                         WEBINAR ISABEL FRANCOIS</t>
  </si>
  <si>
    <t>SA DE VENTE TRANE                   2022203</t>
  </si>
  <si>
    <t>PORTIER BJORN                       DEELNAME WEBINAR WATERST</t>
  </si>
  <si>
    <t>INGENIERIE ET SERVICES SPR          COTISATION</t>
  </si>
  <si>
    <t>ALLIANCE ENGINEERING SPRL           2022145</t>
  </si>
  <si>
    <t>ALAIN VANDENHOUTEN                  WEBINAR 27/04/22</t>
  </si>
  <si>
    <t>VERHAERT-WILLEMS                    FACTUUR 2022092</t>
  </si>
  <si>
    <t>REYNDERS CONSULT COMMV              WEBINAR 27/4</t>
  </si>
  <si>
    <t>DAIKIN AIRCONDITIONING BELGIUM NV   /INV/2022169 24.2.2022</t>
  </si>
  <si>
    <t>THYS JOSEPH                         RETRAITE</t>
  </si>
  <si>
    <t>ROBE ANDRE                          ROBE - FACTURE 2022 043</t>
  </si>
  <si>
    <t>DANNEELS SA SA                      2022193</t>
  </si>
  <si>
    <t>REMEHA NV                           /INV/2022175/24.2.2022</t>
  </si>
  <si>
    <t>BO ENGINEERING SRL                  COTISATION ATIC 2022</t>
  </si>
  <si>
    <t>NATHAN SYSTEMS NV                   2022127</t>
  </si>
  <si>
    <t>REYNDERS CONSULT COMMV              FACTUUR 2022086</t>
  </si>
  <si>
    <t>DPS GROUP BELGIUM B V               DPS GROUP BELGIUM CYCLE</t>
  </si>
  <si>
    <t>VERCRUYSSE LUC                      LIDGELD 2022</t>
  </si>
  <si>
    <t>STUDIEBUREAU VIAENE BV              FACTUURNR. 2022136 - BED</t>
  </si>
  <si>
    <t>PAEPE-DEPOORTER                     GEPENSIONEERD LID GILBER</t>
  </si>
  <si>
    <t>DE PAEPE - DARQUENNES               LID MICHEL DE PAEPE FACT</t>
  </si>
  <si>
    <t>ELD N V                             FACTUUR 2022114 DD 24022</t>
  </si>
  <si>
    <t>S.A. ISTA N.V. SA                   2022154NO. 2022154  24.2</t>
  </si>
  <si>
    <t>SODEXO PASS BELGIUM SA              SPR000020488724374 2022K</t>
  </si>
  <si>
    <t>ELLYPS SA                           20222115</t>
  </si>
  <si>
    <t>LES ENTREPRISES ESMER SA            2022191-INSCRIPTION RALU</t>
  </si>
  <si>
    <t>FIRMA DEWAL BV                      FACTUURNR.: 2022067</t>
  </si>
  <si>
    <t>SCHAKO SARL                         2022134</t>
  </si>
  <si>
    <t>COOREMAN GERARD                     FACT 2022028</t>
  </si>
  <si>
    <t>HALTON NV                           FACTUUR 2022141</t>
  </si>
  <si>
    <t>T R I - CAM BV                      FACTUUR 2022060 - ANDY C</t>
  </si>
  <si>
    <t>SWECO BELGIUM BV                    70148608031251</t>
  </si>
  <si>
    <t>FLAKTGROUP BELGIUM NV               2022012</t>
  </si>
  <si>
    <t>ABC TECHNICS SPRL                   2022098</t>
  </si>
  <si>
    <t>DEMOL DUPONT                        LIDGELD 2022 - ERNEST DE</t>
  </si>
  <si>
    <t>FACT 2022049 LIDGELD 2022 VAN VERHEYDEN HENRI</t>
  </si>
  <si>
    <t>PRIVA BUILDING INTELLIGENCE NV      2022131</t>
  </si>
  <si>
    <t>S.A. TROX BELGIUM N.V. SA           2022161</t>
  </si>
  <si>
    <t>G.E.I. TECHNIQUES SPECIALES SA      FA 2022147</t>
  </si>
  <si>
    <t>MASY GABRIELLE                      COTISATION 2022 - GABRIE</t>
  </si>
  <si>
    <t>D.V INGENIEURS                      FACTUUR NR 2022093</t>
  </si>
  <si>
    <t>POITOUX - FOUYON                    FACTURE 2022084 - COTISA</t>
  </si>
  <si>
    <t>LIMPENS DOMINIQUE                   COTISATION 2022</t>
  </si>
  <si>
    <t>FERNANDEZ GARCIA MARCELLIN          FERNANDEZ MARCELINO</t>
  </si>
  <si>
    <t>HENKENS FRERES SA                   2022089</t>
  </si>
  <si>
    <t>RCR, STUDIEBUREAU SPECIALE          FACTUUR 2022132 - LIDMAA</t>
  </si>
  <si>
    <t>FI ENGINEERING SRL                  FACTURE 2022116</t>
  </si>
  <si>
    <t>BROUAE ARCHITECTURE                 COTISATION MEMBRE GEROME</t>
  </si>
  <si>
    <t>FLOW TRANSFER                       FACTURE 2022-117</t>
  </si>
  <si>
    <t>RENSON VENTILATION N V              /INV/2022176</t>
  </si>
  <si>
    <t>DANZE CHALEUR ET CONFORT SPRL       COTISATION 2022 DANZE</t>
  </si>
  <si>
    <t>SA DE VENTE TRANE                   2022182</t>
  </si>
  <si>
    <t>MAERTENS - CARRETTE                 FACTUUR N. 20222038</t>
  </si>
  <si>
    <t>VK ENGINEERING NV                   2022186</t>
  </si>
  <si>
    <t>BREHAIN DAVID                       COTISATION D BREHAIN</t>
  </si>
  <si>
    <t>BELVEN NV                           2022103</t>
  </si>
  <si>
    <t>WILLY BEDDELEEM                     LIDGELD 2022 - GEPENSION</t>
  </si>
  <si>
    <t>ECORCE, ECONOMISER L'ENERGIE, RESPE FACTURE 2022112</t>
  </si>
  <si>
    <t>CDB CONSULT SNC                     COTISATION ATIC CDB 2022</t>
  </si>
  <si>
    <t>PONCELET-VERACHTERT                 FACTUUR 2022042</t>
  </si>
  <si>
    <t>ATIC BUILDWIND SPRL</t>
  </si>
  <si>
    <t>MICRONISER SCRI                     2022126 COTISATION 2022</t>
  </si>
  <si>
    <t>CONCEPT CONTROL SA                  FACT 2022107 - ANNEE 202</t>
  </si>
  <si>
    <t>BREES . CO                          LIDMAATSCHAPSBIJDRAGE -</t>
  </si>
  <si>
    <t>SANISTORMS BV                       COTISATION MENBRE ATIC 2</t>
  </si>
  <si>
    <t>RESUS DISTRI NV                     FACTUUR 2022133 - LIDMAA</t>
  </si>
  <si>
    <t>JACOBS RENE                         COTISATION 2022</t>
  </si>
  <si>
    <t>TUSSET-DABEE                        FACTURE 2022046</t>
  </si>
  <si>
    <t>CONSULTHERM SRL                     COTISATION 2022 - J. ROM</t>
  </si>
  <si>
    <t>OMER DELOOF NV                      FACTUUR 2022064</t>
  </si>
  <si>
    <t>LES ENTREPRISES ESMER SA            FACTURE 2022156</t>
  </si>
  <si>
    <t>M ANDRE SONON                       COTISATION 2022</t>
  </si>
  <si>
    <t>OUTREMER CIP                        2022077</t>
  </si>
  <si>
    <t>STADSBESTUUR GENT                   2022019 79,00 /</t>
  </si>
  <si>
    <t>VDB CONTROLS BV                     FACTUUR 2022023</t>
  </si>
  <si>
    <t>HCO.ENERGY                          COTISATION 2022 - FACTUR</t>
  </si>
  <si>
    <t>M+MME VANDECRUYS - BOETS            FACTUUR   2022047    VAN</t>
  </si>
  <si>
    <t>J. RANSBOTYN ET CO SPRL             2022085</t>
  </si>
  <si>
    <t>FABRI-ROGGEMAN                      LIDGELD 2022</t>
  </si>
  <si>
    <t>DE HOE JEAN                         COTISATION ATIC 2022  -</t>
  </si>
  <si>
    <t>S.A. CLOSE                          F2022168</t>
  </si>
  <si>
    <t>CONSULTING CB COMMV                 FACTUUR 2022026</t>
  </si>
  <si>
    <t>FABRICOM                            /INV/2022010 22.1.2022</t>
  </si>
  <si>
    <t>Wedden bedienden, Salaires employés + 202202</t>
  </si>
  <si>
    <t>STG MOLLIE PAYMENTS                 REF T09617121.2203.01</t>
  </si>
  <si>
    <t>ARCADIS BELGIUM NV                  2022003</t>
  </si>
  <si>
    <t>Uitgesteld 20210261 18/12/2021- 18-12-2021-17-12-2022 28/365</t>
  </si>
  <si>
    <t>6 (6) - Lidgelden</t>
  </si>
  <si>
    <t>Passiefhuis platform</t>
  </si>
  <si>
    <t>Afschrijving: 2022 - 2</t>
  </si>
  <si>
    <t>Uitgesteld 20210074 betaling do 15-04-2021-15-04-2022 28/366</t>
  </si>
  <si>
    <t>SWECO BELGIUM BV                    2022008</t>
  </si>
  <si>
    <t>WILLY BEDDELEEM                     WEBINAR 24.02 - CORROSIE</t>
  </si>
  <si>
    <t>LOJEGA SC                           2022009</t>
  </si>
  <si>
    <t>NV DENYS                            2022016</t>
  </si>
  <si>
    <t>Inschrijving cyclus Sanitair</t>
  </si>
  <si>
    <t>JACOBS RENE                         WEBMINAAR 24 2 2022</t>
  </si>
  <si>
    <t>PR2 ARCHITECTEN VOF                 WEBINAR TV 278 ATIC FEBR</t>
  </si>
  <si>
    <t>VAN DE BERCK MANU                   WEBINAR TV 278 ATIC FEBR</t>
  </si>
  <si>
    <t>SODEXO PASS BELGIUM SA              SPR000020346338559 2022K</t>
  </si>
  <si>
    <t>M.G GROUP BELGIUM SA                WEBINAR TV 278 ATIC FEBR</t>
  </si>
  <si>
    <t>SODEXO PASS BELGIUM SA              SPR000020346336557 2022K</t>
  </si>
  <si>
    <t>ATELIER T,INGENIEURS EN             INDIVIDUELE ATIC-LIDMAAT</t>
  </si>
  <si>
    <t>IMTECH BELGIUM NV                   WEBINAR TV 278 ATIC FEBR</t>
  </si>
  <si>
    <t>SODEXO PASS BELGIUM SA              SPR000020328622789 2021K</t>
  </si>
  <si>
    <t>MAERTENS - CARRETTE                 CORROSIE</t>
  </si>
  <si>
    <t>BREES . CO                          WEBINAR ATIC 24/2/2022 -</t>
  </si>
  <si>
    <t>CENTRE SCIENTIFIQUE ET TEC          WEBINAR ATIC COVID JANVI</t>
  </si>
  <si>
    <t>THYS JOSEPH                         WEBINAR 24-02-2022</t>
  </si>
  <si>
    <t>CENTRE SCIENTIFIQUE ET TEC          WEBINAR ATIC COVID JANV</t>
  </si>
  <si>
    <t>#20 x € 8,00</t>
  </si>
  <si>
    <t>SODEXO PASS BELGIUM SA              SPR000020300710793 2022K</t>
  </si>
  <si>
    <t>SODEXO PASS BELGIUM SA              SPR000020288371418 2022K</t>
  </si>
  <si>
    <t>3594 DATS 24 NOS NOSSEGEM           3594 DATS 24 NOS NOSSEGE</t>
  </si>
  <si>
    <t>SODEXO PASS BELGIUM SA              SPR000020274618623 2021K</t>
  </si>
  <si>
    <t>DABESTAN GHOLAM                     FACTURE N 2022011</t>
  </si>
  <si>
    <t>ATELIER T,INGENIEURS EN             FACTUUR NR.2022006 BESTE</t>
  </si>
  <si>
    <t>Wedden bedienden, Salaires employés + 202201</t>
  </si>
  <si>
    <t>STG MOLLIE PAYMENTS                 REF T09617121.2202.01</t>
  </si>
  <si>
    <t>13 (13) - Financiële kosten &amp; opbrengsten</t>
  </si>
  <si>
    <t>Verzekering</t>
  </si>
  <si>
    <t>Afschrijving: 2022 - 1</t>
  </si>
  <si>
    <t>THOMAS   PIRON HAUS                   WEBINAR ATIC COVID JAN</t>
  </si>
  <si>
    <t>SA DE VENTE TRANE                   WEBINAR ATIC COVID 19 +</t>
  </si>
  <si>
    <t>DE STRYCKER MAARTEN                 WEBINAR ATIC COVID DE ST</t>
  </si>
  <si>
    <t>CLIMAVENT BV                        WEBINAR ATIC COVID 19 -T</t>
  </si>
  <si>
    <t>[CF] dubbele entry: 7.87 &gt; 0 EUR</t>
  </si>
  <si>
    <t>ISTEMA NV                           WEBINAR LAST VAN COVID</t>
  </si>
  <si>
    <t>STUDIEBUREAU VIAENE BV              WEBINAR : VENTILATIE IN</t>
  </si>
  <si>
    <t>WEBINAR ATIC JANVIER FEVRIER 22 FRANCKX CARL</t>
  </si>
  <si>
    <t>HUBERT JORENS                       WEBINAR ATIC COVID 19 SA</t>
  </si>
  <si>
    <t>NOUWYNCK JEAN                       WEBINAR COVID 19</t>
  </si>
  <si>
    <t>Mededeling:  Rekeningnummer:  Verrichtingscode: (33537000) K</t>
  </si>
  <si>
    <t>VAN LEEUW JAN                       CORONA</t>
  </si>
  <si>
    <t>SANDER GABRIELLE                    PEB CHAUFFAGE</t>
  </si>
  <si>
    <t>REYNDERS CONSULT COMMV              WEBINARS VENTILATIE 27/1</t>
  </si>
  <si>
    <t>PORTIER BJORN                       INSCHRIJVING BJORN PORTI</t>
  </si>
  <si>
    <t>DE PRIJCK SANDRA                    WEBINAR 19-01-2022 PHILI</t>
  </si>
  <si>
    <t>LAURENT DE BRUYNE                   WEBINAR ATIC 19-01-2022/</t>
  </si>
  <si>
    <t>NV VANDEWALLE                       WEBINAR ATIC COVID 19 WI</t>
  </si>
  <si>
    <t>BABAR-NAJAM                         INSCRIPTION BABAR MAJID-</t>
  </si>
  <si>
    <t>IMTECH BELGIE                       WEBINAR ATIC COVID BART</t>
  </si>
  <si>
    <t>KIEBACK &amp; PETER BELGIUM BV          WEBINAR 19 JANUARI 2022</t>
  </si>
  <si>
    <t>KG TEG COMM.V                       INSCHRIJVING LAST VAN CO</t>
  </si>
  <si>
    <t>IMTECH BELGIE                       WEBINAR ATIC COVID HUGO</t>
  </si>
  <si>
    <t>MAERTENS - CARRETTE                 VENTILATIE</t>
  </si>
  <si>
    <t>BREES . CO                          WEBINAR 19-01-2022 - LUC</t>
  </si>
  <si>
    <t>cyclus 4C</t>
  </si>
  <si>
    <t>THYS JOSEPH                         WEBINAR ATIC COVID19</t>
  </si>
  <si>
    <t>TEENCONSULTING SRL                  DEBINAR ATIC 19-01-2022</t>
  </si>
  <si>
    <t>Q8 108075 LEUVEN LEUVEN             Q8 108075 LEUVEN LEUVEN</t>
  </si>
  <si>
    <t>WEBINAR 19-01-2022 THYS JOSEPH</t>
  </si>
  <si>
    <t>PROGROUP BELGIUM SRL                WEBINAR ATIC 19-01-2022+</t>
  </si>
  <si>
    <t>AE+ENGINEERING BV                   WEBINAR 19/01/2022 MARTI</t>
  </si>
  <si>
    <t>VAN LEEUW JAN 19/1</t>
  </si>
  <si>
    <t>SA DE VENTE TRANE                   CYCLE 1 - 2022 TARIK EL</t>
  </si>
  <si>
    <t>otdk 61333000 4/12/2021-4/12/2022</t>
  </si>
  <si>
    <t>visa mei-juni 2021</t>
  </si>
  <si>
    <t>Uitgesteld 20210266 polis maatschappel 01-01-2022-01-01-2022</t>
  </si>
  <si>
    <t>024 0010024172                                       01-01-2</t>
  </si>
  <si>
    <t>Documentatie-abonnementen</t>
  </si>
  <si>
    <t>visa mei-juni 2021 canva</t>
  </si>
  <si>
    <t>Verzekering exploitatie, verenigingswerkers en vrijwilligers</t>
  </si>
  <si>
    <t>GLAccountCodeDescriptionDescription</t>
  </si>
  <si>
    <t>GLAccountCodeDescriptionCode</t>
  </si>
  <si>
    <t>Description</t>
  </si>
  <si>
    <t>AmountDC</t>
  </si>
  <si>
    <t>EntryNumber</t>
  </si>
  <si>
    <t>JournalCode</t>
  </si>
  <si>
    <t>kostenplaats</t>
  </si>
  <si>
    <t>grootboekrekening</t>
  </si>
  <si>
    <t>bedrag</t>
  </si>
  <si>
    <t>datum</t>
  </si>
  <si>
    <t>Rijlabels</t>
  </si>
  <si>
    <t>Eindtotaal</t>
  </si>
  <si>
    <t>Som van bedrag</t>
  </si>
  <si>
    <t>61000000 Huur zalen, uitrusting, pauzes</t>
  </si>
  <si>
    <t>61010000 Huur bureau leuven</t>
  </si>
  <si>
    <t>61011000 Verzekering exploitatie, verenigingswerkers en vrijwilligers</t>
  </si>
  <si>
    <t>61020000 Drukwerken</t>
  </si>
  <si>
    <t>61023000 Erelonen</t>
  </si>
  <si>
    <t>61025000 Documentatie-abonnementen</t>
  </si>
  <si>
    <t>61053000 Verkeersbelasting personenwagens</t>
  </si>
  <si>
    <t>61113000 Onderhoud &amp; tax bedrijfswagen</t>
  </si>
  <si>
    <t>61115000 Brandstof bedrijfswagen</t>
  </si>
  <si>
    <t>61231000 Abonnementen en lidmaatschap</t>
  </si>
  <si>
    <t>61241000 Bureaumateriaal &amp; drukwerk</t>
  </si>
  <si>
    <t>61243000 Informaticamateriaal &amp; software</t>
  </si>
  <si>
    <t>61244000 Internet site</t>
  </si>
  <si>
    <t>61271000 Telecommunicatie</t>
  </si>
  <si>
    <t>61314000 Prestaties boekhouder</t>
  </si>
  <si>
    <t>61315000 Vergoeding professoren</t>
  </si>
  <si>
    <t>61320000 Bijdragen aan sodexo</t>
  </si>
  <si>
    <t>61321000 Bijdragen aan sociaal secretariaat</t>
  </si>
  <si>
    <t>61332000 Verzekeringen locaal</t>
  </si>
  <si>
    <t>61333000 Verzekering bedrijfswagen</t>
  </si>
  <si>
    <t>61412000 Reizen en verplaatsingen</t>
  </si>
  <si>
    <t>61413000 Vergadering-recepties</t>
  </si>
  <si>
    <t>61415000 Parking</t>
  </si>
  <si>
    <t>61416000 Verplaatsingskosten leraars</t>
  </si>
  <si>
    <t>61513000 Geschenken aan derden</t>
  </si>
  <si>
    <t>61540000 Prijs atic - marcel herman</t>
  </si>
  <si>
    <t>61624000 Passiefhuis platform</t>
  </si>
  <si>
    <t>62020000 Bedienden bruto</t>
  </si>
  <si>
    <t>62111000 Werkgeversbijdragen</t>
  </si>
  <si>
    <t>62115000 Groepsverzekering</t>
  </si>
  <si>
    <t>62300000 Verzekering</t>
  </si>
  <si>
    <t>62301000 Andere personeelskosten</t>
  </si>
  <si>
    <t>62311000 Maaltijdcheques + eco cheques</t>
  </si>
  <si>
    <t>63020000 Afschrijvingen gebouwen</t>
  </si>
  <si>
    <t>63023000 Afschrijvingen installaties, machines en uitrusting</t>
  </si>
  <si>
    <t>65021000 Bankkosten</t>
  </si>
  <si>
    <t>70307000 Studiedag 1</t>
  </si>
  <si>
    <t>70510000 Bijdragen individuele leden</t>
  </si>
  <si>
    <t>70512000 Bijdrage bedrijfsleden</t>
  </si>
  <si>
    <t>70596000 Diverse inkomsten</t>
  </si>
  <si>
    <t>70616000 Inschrijvingen cyclus i</t>
  </si>
  <si>
    <t>70679000 Inschrijvingen cyclus IV - A/B/C</t>
  </si>
  <si>
    <t>70679010 Inschrijving cyclus Sanitair</t>
  </si>
  <si>
    <t>Boetes</t>
  </si>
  <si>
    <t>Klein materieel</t>
  </si>
  <si>
    <t>Resultaat 2023</t>
  </si>
  <si>
    <t>Budget 2023</t>
  </si>
  <si>
    <t>Afschr. Internet site 5 jaar</t>
  </si>
  <si>
    <t>Tussentotaal</t>
  </si>
  <si>
    <t>Huur zalen, uitrusting, pauzes/ Catering</t>
  </si>
  <si>
    <t>Afschr. Update cursus 3 jaar (cat 2)</t>
  </si>
  <si>
    <t>Budget 2024</t>
  </si>
  <si>
    <t>internet website</t>
  </si>
  <si>
    <t>Budget 2025</t>
  </si>
  <si>
    <t>Resultaat 2024</t>
  </si>
  <si>
    <t>Resultaat 2025</t>
  </si>
  <si>
    <t>Berekening lonen - Budget 2025</t>
  </si>
  <si>
    <t>Woonwerk</t>
  </si>
  <si>
    <t>Bijdrage groepsverzekering</t>
  </si>
  <si>
    <t>Kosten eigen WG/reis verblijfskosten</t>
  </si>
  <si>
    <t>Persoonlijke bijdrage MC</t>
  </si>
  <si>
    <t>Persoonlijke bijdrage groepsverzekering</t>
  </si>
  <si>
    <t>Recuperatie voordeel alle aard wagen</t>
  </si>
  <si>
    <t>andere personeelskosten Jos/wetsverzekering</t>
  </si>
  <si>
    <t>Bruto totaal</t>
  </si>
  <si>
    <t>Inschrijvingen cyclus Sanitair 2 (juni)</t>
  </si>
  <si>
    <t>Studiedag 1 Live 05/03</t>
  </si>
  <si>
    <t>Studiedag 2 Live 24/05</t>
  </si>
  <si>
    <t>Webinar</t>
  </si>
  <si>
    <t>Studiedag 3 Live najaar</t>
  </si>
  <si>
    <t>Informaticamateriaal &amp; Software</t>
  </si>
  <si>
    <t>Webinar opleidingen gepland? Schatting indien geval. toevoegen</t>
  </si>
  <si>
    <t>Nieuwe website gaat ontwikkeld worden in 2025 - oplevering 2025.</t>
  </si>
  <si>
    <t>Annexe 85 project - internationaal energie agentschap samenwerking --&gt; term wordt vervangen door BURNAY FONDS</t>
  </si>
  <si>
    <t xml:space="preserve">Burnay Fonds </t>
  </si>
  <si>
    <t>Vergoeding professoren cyclus Sanitair deel 1</t>
  </si>
  <si>
    <t>Vergoeding professoren Sanitair deel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</si>
</sst>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€&quot;\ * #,##0.00_ ;_ &quot;€&quot;\ * \-#,##0.00_ ;_ &quot;€&quot;\ * &quot;-&quot;??_ ;_ @_ "/>
    <numFmt numFmtId="164" formatCode="#,##0.00\ ;\-#,##0.00"/>
    <numFmt numFmtId="165" formatCode="#,##0.00_ ;\-#,##0.00\ "/>
    <numFmt numFmtId="166" formatCode="dd\-mm\-yyyy"/>
    <numFmt numFmtId="167" formatCode="d\-m\-yyyy"/>
    <numFmt numFmtId="168" formatCode="0.0000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0"/>
      <color rgb="FF008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8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1" applyFont="1" applyAlignment="1">
      <alignment horizontal="center"/>
    </xf>
    <xf numFmtId="0" fontId="4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2" borderId="0" xfId="1" applyFont="1" applyFill="1" applyAlignment="1">
      <alignment horizontal="center"/>
    </xf>
    <xf numFmtId="164" fontId="3" fillId="2" borderId="2" xfId="0" applyNumberFormat="1" applyFont="1" applyFill="1" applyBorder="1"/>
    <xf numFmtId="164" fontId="3" fillId="2" borderId="4" xfId="0" applyNumberFormat="1" applyFont="1" applyFill="1" applyBorder="1"/>
    <xf numFmtId="164" fontId="3" fillId="2" borderId="5" xfId="0" applyNumberFormat="1" applyFont="1" applyFill="1" applyBorder="1"/>
    <xf numFmtId="164" fontId="3" fillId="2" borderId="6" xfId="0" applyNumberFormat="1" applyFont="1" applyFill="1" applyBorder="1"/>
    <xf numFmtId="164" fontId="1" fillId="2" borderId="0" xfId="1" applyNumberFormat="1" applyFill="1"/>
    <xf numFmtId="164" fontId="3" fillId="2" borderId="7" xfId="0" applyNumberFormat="1" applyFont="1" applyFill="1" applyBorder="1"/>
    <xf numFmtId="164" fontId="3" fillId="2" borderId="8" xfId="0" applyNumberFormat="1" applyFont="1" applyFill="1" applyBorder="1"/>
    <xf numFmtId="165" fontId="3" fillId="2" borderId="8" xfId="0" applyNumberFormat="1" applyFont="1" applyFill="1" applyBorder="1"/>
    <xf numFmtId="0" fontId="3" fillId="0" borderId="9" xfId="0" applyFont="1" applyBorder="1"/>
    <xf numFmtId="0" fontId="0" fillId="0" borderId="0" xfId="0" applyAlignment="1">
      <alignment wrapText="1"/>
    </xf>
    <xf numFmtId="0" fontId="3" fillId="0" borderId="0" xfId="0" applyFont="1"/>
    <xf numFmtId="0" fontId="2" fillId="2" borderId="10" xfId="1" applyFont="1" applyFill="1" applyBorder="1" applyAlignment="1">
      <alignment horizontal="center"/>
    </xf>
    <xf numFmtId="164" fontId="1" fillId="2" borderId="10" xfId="1" applyNumberFormat="1" applyFill="1" applyBorder="1"/>
    <xf numFmtId="164" fontId="3" fillId="2" borderId="11" xfId="0" applyNumberFormat="1" applyFont="1" applyFill="1" applyBorder="1"/>
    <xf numFmtId="0" fontId="4" fillId="2" borderId="0" xfId="0" applyFont="1" applyFill="1"/>
    <xf numFmtId="164" fontId="3" fillId="2" borderId="0" xfId="0" applyNumberFormat="1" applyFont="1" applyFill="1"/>
    <xf numFmtId="164" fontId="3" fillId="2" borderId="10" xfId="0" applyNumberFormat="1" applyFont="1" applyFill="1" applyBorder="1"/>
    <xf numFmtId="165" fontId="3" fillId="2" borderId="7" xfId="0" applyNumberFormat="1" applyFont="1" applyFill="1" applyBorder="1"/>
    <xf numFmtId="165" fontId="3" fillId="2" borderId="0" xfId="0" applyNumberFormat="1" applyFont="1" applyFill="1"/>
    <xf numFmtId="164" fontId="0" fillId="0" borderId="0" xfId="1" applyNumberFormat="1" applyFont="1"/>
    <xf numFmtId="164" fontId="3" fillId="2" borderId="9" xfId="0" applyNumberFormat="1" applyFont="1" applyFill="1" applyBorder="1"/>
    <xf numFmtId="0" fontId="0" fillId="2" borderId="4" xfId="0" applyFill="1" applyBorder="1" applyAlignment="1">
      <alignment horizontal="center"/>
    </xf>
    <xf numFmtId="164" fontId="3" fillId="2" borderId="3" xfId="0" applyNumberFormat="1" applyFont="1" applyFill="1" applyBorder="1"/>
    <xf numFmtId="0" fontId="2" fillId="2" borderId="12" xfId="1" applyFont="1" applyFill="1" applyBorder="1" applyAlignment="1">
      <alignment horizontal="center"/>
    </xf>
    <xf numFmtId="0" fontId="0" fillId="2" borderId="12" xfId="0" applyFill="1" applyBorder="1"/>
    <xf numFmtId="164" fontId="3" fillId="2" borderId="12" xfId="0" applyNumberFormat="1" applyFont="1" applyFill="1" applyBorder="1"/>
    <xf numFmtId="0" fontId="0" fillId="0" borderId="1" xfId="0" applyBorder="1" applyAlignment="1">
      <alignment horizontal="left"/>
    </xf>
    <xf numFmtId="164" fontId="1" fillId="2" borderId="12" xfId="1" applyNumberFormat="1" applyFill="1" applyBorder="1"/>
    <xf numFmtId="164" fontId="1" fillId="0" borderId="12" xfId="1" applyNumberFormat="1" applyBorder="1"/>
    <xf numFmtId="0" fontId="4" fillId="2" borderId="12" xfId="0" applyFont="1" applyFill="1" applyBorder="1"/>
    <xf numFmtId="0" fontId="3" fillId="2" borderId="13" xfId="1" applyFont="1" applyFill="1" applyBorder="1" applyAlignment="1">
      <alignment horizontal="center"/>
    </xf>
    <xf numFmtId="0" fontId="2" fillId="2" borderId="13" xfId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3" fillId="3" borderId="2" xfId="0" applyFont="1" applyFill="1" applyBorder="1"/>
    <xf numFmtId="0" fontId="3" fillId="3" borderId="5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3" borderId="0" xfId="0" applyFill="1"/>
    <xf numFmtId="164" fontId="3" fillId="3" borderId="12" xfId="0" applyNumberFormat="1" applyFont="1" applyFill="1" applyBorder="1"/>
    <xf numFmtId="164" fontId="1" fillId="3" borderId="12" xfId="1" applyNumberFormat="1" applyFill="1" applyBorder="1"/>
    <xf numFmtId="4" fontId="0" fillId="3" borderId="1" xfId="0" applyNumberFormat="1" applyFill="1" applyBorder="1"/>
    <xf numFmtId="4" fontId="0" fillId="3" borderId="1" xfId="0" applyNumberFormat="1" applyFill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  <xf numFmtId="4" fontId="3" fillId="3" borderId="2" xfId="0" applyNumberFormat="1" applyFont="1" applyFill="1" applyBorder="1"/>
    <xf numFmtId="4" fontId="3" fillId="3" borderId="5" xfId="0" applyNumberFormat="1" applyFont="1" applyFill="1" applyBorder="1"/>
    <xf numFmtId="0" fontId="4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0" borderId="0" xfId="0" applyNumberFormat="1"/>
    <xf numFmtId="164" fontId="3" fillId="0" borderId="0" xfId="0" applyNumberFormat="1" applyFont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0" xfId="0" applyFill="1" applyBorder="1" applyAlignment="1">
      <alignment horizontal="center"/>
    </xf>
    <xf numFmtId="164" fontId="1" fillId="0" borderId="0" xfId="1" applyNumberFormat="1"/>
    <xf numFmtId="164" fontId="1" fillId="0" borderId="10" xfId="1" applyNumberFormat="1" applyBorder="1"/>
    <xf numFmtId="4" fontId="0" fillId="0" borderId="0" xfId="0" applyNumberFormat="1"/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3" fillId="5" borderId="13" xfId="1" applyFont="1" applyFill="1" applyBorder="1" applyAlignment="1">
      <alignment horizontal="center"/>
    </xf>
    <xf numFmtId="0" fontId="3" fillId="6" borderId="13" xfId="1" applyFont="1" applyFill="1" applyBorder="1" applyAlignment="1">
      <alignment horizontal="center"/>
    </xf>
    <xf numFmtId="0" fontId="2" fillId="6" borderId="13" xfId="1" applyFont="1" applyFill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3" fillId="5" borderId="12" xfId="1" applyFont="1" applyFill="1" applyBorder="1" applyAlignment="1">
      <alignment horizontal="center"/>
    </xf>
    <xf numFmtId="0" fontId="0" fillId="6" borderId="12" xfId="0" applyFill="1" applyBorder="1"/>
    <xf numFmtId="0" fontId="2" fillId="6" borderId="12" xfId="1" applyFont="1" applyFill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164" fontId="3" fillId="5" borderId="12" xfId="0" applyNumberFormat="1" applyFont="1" applyFill="1" applyBorder="1"/>
    <xf numFmtId="164" fontId="3" fillId="6" borderId="12" xfId="0" applyNumberFormat="1" applyFont="1" applyFill="1" applyBorder="1"/>
    <xf numFmtId="164" fontId="3" fillId="0" borderId="12" xfId="0" applyNumberFormat="1" applyFont="1" applyBorder="1"/>
    <xf numFmtId="164" fontId="1" fillId="5" borderId="12" xfId="1" applyNumberFormat="1" applyFill="1" applyBorder="1"/>
    <xf numFmtId="164" fontId="1" fillId="6" borderId="12" xfId="1" applyNumberFormat="1" applyFill="1" applyBorder="1"/>
    <xf numFmtId="164" fontId="0" fillId="0" borderId="12" xfId="1" applyNumberFormat="1" applyFont="1" applyBorder="1"/>
    <xf numFmtId="165" fontId="3" fillId="0" borderId="12" xfId="0" applyNumberFormat="1" applyFont="1" applyBorder="1"/>
    <xf numFmtId="164" fontId="3" fillId="7" borderId="12" xfId="0" applyNumberFormat="1" applyFont="1" applyFill="1" applyBorder="1"/>
    <xf numFmtId="164" fontId="1" fillId="7" borderId="12" xfId="1" applyNumberFormat="1" applyFill="1" applyBorder="1"/>
    <xf numFmtId="0" fontId="0" fillId="0" borderId="12" xfId="0" applyBorder="1"/>
    <xf numFmtId="164" fontId="3" fillId="6" borderId="12" xfId="1" applyNumberFormat="1" applyFont="1" applyFill="1" applyBorder="1"/>
    <xf numFmtId="0" fontId="4" fillId="6" borderId="12" xfId="0" applyFont="1" applyFill="1" applyBorder="1"/>
    <xf numFmtId="0" fontId="4" fillId="0" borderId="12" xfId="0" applyFont="1" applyBorder="1"/>
    <xf numFmtId="164" fontId="0" fillId="0" borderId="0" xfId="0" applyNumberFormat="1"/>
    <xf numFmtId="164" fontId="4" fillId="3" borderId="12" xfId="1" applyNumberFormat="1" applyFont="1" applyFill="1" applyBorder="1"/>
    <xf numFmtId="0" fontId="4" fillId="0" borderId="0" xfId="0" applyFont="1" applyAlignment="1">
      <alignment wrapText="1"/>
    </xf>
    <xf numFmtId="14" fontId="0" fillId="0" borderId="0" xfId="0" applyNumberFormat="1"/>
    <xf numFmtId="2" fontId="1" fillId="0" borderId="0" xfId="2" applyNumberFormat="1"/>
    <xf numFmtId="4" fontId="3" fillId="3" borderId="12" xfId="0" applyNumberFormat="1" applyFont="1" applyFill="1" applyBorder="1"/>
    <xf numFmtId="0" fontId="3" fillId="3" borderId="12" xfId="0" applyFont="1" applyFill="1" applyBorder="1"/>
    <xf numFmtId="4" fontId="0" fillId="3" borderId="12" xfId="0" applyNumberFormat="1" applyFill="1" applyBorder="1"/>
    <xf numFmtId="0" fontId="0" fillId="3" borderId="12" xfId="0" applyFill="1" applyBorder="1"/>
    <xf numFmtId="165" fontId="0" fillId="4" borderId="0" xfId="0" applyNumberFormat="1" applyFill="1"/>
    <xf numFmtId="0" fontId="0" fillId="0" borderId="0" xfId="0" applyAlignment="1">
      <alignment horizontal="center"/>
    </xf>
    <xf numFmtId="164" fontId="3" fillId="3" borderId="12" xfId="1" applyNumberFormat="1" applyFont="1" applyFill="1" applyBorder="1"/>
    <xf numFmtId="0" fontId="1" fillId="0" borderId="0" xfId="0" applyFont="1"/>
    <xf numFmtId="39" fontId="0" fillId="0" borderId="0" xfId="0" applyNumberFormat="1"/>
    <xf numFmtId="0" fontId="9" fillId="0" borderId="0" xfId="0" applyFont="1"/>
    <xf numFmtId="164" fontId="9" fillId="3" borderId="12" xfId="1" applyNumberFormat="1" applyFont="1" applyFill="1" applyBorder="1"/>
    <xf numFmtId="0" fontId="10" fillId="0" borderId="12" xfId="0" applyFont="1" applyBorder="1"/>
    <xf numFmtId="0" fontId="2" fillId="0" borderId="12" xfId="0" applyFont="1" applyBorder="1"/>
    <xf numFmtId="0" fontId="2" fillId="0" borderId="12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1" fillId="0" borderId="12" xfId="0" applyFont="1" applyBorder="1"/>
    <xf numFmtId="164" fontId="2" fillId="0" borderId="0" xfId="0" applyNumberFormat="1" applyFont="1"/>
    <xf numFmtId="164" fontId="2" fillId="6" borderId="12" xfId="1" applyNumberFormat="1" applyFont="1" applyFill="1" applyBorder="1"/>
    <xf numFmtId="0" fontId="1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3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167" fontId="0" fillId="0" borderId="0" xfId="0" applyNumberFormat="1" applyAlignment="1">
      <alignment vertical="center"/>
    </xf>
    <xf numFmtId="4" fontId="12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vertical="center"/>
    </xf>
    <xf numFmtId="1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3" fillId="3" borderId="1" xfId="0" applyNumberFormat="1" applyFont="1" applyFill="1" applyBorder="1"/>
    <xf numFmtId="164" fontId="1" fillId="3" borderId="1" xfId="1" applyNumberFormat="1" applyFill="1" applyBorder="1"/>
    <xf numFmtId="164" fontId="2" fillId="5" borderId="12" xfId="1" applyNumberFormat="1" applyFont="1" applyFill="1" applyBorder="1"/>
    <xf numFmtId="164" fontId="2" fillId="3" borderId="12" xfId="1" applyNumberFormat="1" applyFont="1" applyFill="1" applyBorder="1"/>
    <xf numFmtId="164" fontId="2" fillId="2" borderId="12" xfId="1" applyNumberFormat="1" applyFont="1" applyFill="1" applyBorder="1"/>
    <xf numFmtId="164" fontId="2" fillId="3" borderId="1" xfId="1" applyNumberFormat="1" applyFont="1" applyFill="1" applyBorder="1"/>
    <xf numFmtId="164" fontId="2" fillId="0" borderId="12" xfId="1" applyNumberFormat="1" applyFont="1" applyBorder="1"/>
    <xf numFmtId="0" fontId="2" fillId="6" borderId="12" xfId="0" applyFont="1" applyFill="1" applyBorder="1"/>
    <xf numFmtId="164" fontId="2" fillId="7" borderId="12" xfId="1" applyNumberFormat="1" applyFont="1" applyFill="1" applyBorder="1"/>
    <xf numFmtId="0" fontId="0" fillId="0" borderId="0" xfId="0" quotePrefix="1"/>
    <xf numFmtId="168" fontId="0" fillId="0" borderId="0" xfId="0" applyNumberFormat="1"/>
    <xf numFmtId="164" fontId="4" fillId="0" borderId="0" xfId="1" applyNumberFormat="1" applyFont="1"/>
    <xf numFmtId="165" fontId="1" fillId="0" borderId="0" xfId="2" applyNumberFormat="1"/>
    <xf numFmtId="0" fontId="0" fillId="8" borderId="1" xfId="0" applyFill="1" applyBorder="1" applyAlignment="1">
      <alignment horizontal="left"/>
    </xf>
    <xf numFmtId="0" fontId="4" fillId="8" borderId="1" xfId="0" applyFont="1" applyFill="1" applyBorder="1" applyAlignment="1">
      <alignment horizontal="left"/>
    </xf>
    <xf numFmtId="0" fontId="2" fillId="0" borderId="3" xfId="0" applyFont="1" applyBorder="1"/>
    <xf numFmtId="0" fontId="3" fillId="0" borderId="1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8" borderId="2" xfId="0" applyFont="1" applyFill="1" applyBorder="1" applyAlignment="1">
      <alignment horizontal="left"/>
    </xf>
    <xf numFmtId="0" fontId="3" fillId="8" borderId="5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0" fillId="0" borderId="9" xfId="0" applyFont="1" applyBorder="1"/>
    <xf numFmtId="0" fontId="1" fillId="5" borderId="3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164" fontId="1" fillId="6" borderId="12" xfId="1" applyNumberFormat="1" applyFont="1" applyFill="1" applyBorder="1"/>
  </cellXfs>
  <cellStyles count="6">
    <cellStyle name="Komma" xfId="1" builtinId="3"/>
    <cellStyle name="Procent" xfId="2" builtinId="5"/>
    <cellStyle name="Standaard" xfId="0" builtinId="0"/>
    <cellStyle name="Standaard 2" xfId="3" xr:uid="{00000000-0005-0000-0000-000003000000}"/>
    <cellStyle name="Valuta 2" xfId="4" xr:uid="{00000000-0005-0000-0000-000004000000}"/>
    <cellStyle name="Valuta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lse Serneels" refreshedDate="44690.954857986108" createdVersion="7" refreshedVersion="7" minRefreshableVersion="3" recordCount="391" xr:uid="{4FDECA7A-69E4-46C9-8B68-F67798ED5AF1}">
  <cacheSource type="worksheet">
    <worksheetSource ref="A1:J392" sheet="Blad1"/>
  </cacheSource>
  <cacheFields count="10">
    <cacheField name="JournalCode" numFmtId="0">
      <sharedItems containsMixedTypes="1" containsNumber="1" containsInteger="1" minValue="10" maxValue="88"/>
    </cacheField>
    <cacheField name="EntryNumber" numFmtId="0">
      <sharedItems containsSemiMixedTypes="0" containsString="0" containsNumber="1" containsInteger="1" minValue="20220001" maxValue="22880008"/>
    </cacheField>
    <cacheField name="datum" numFmtId="14">
      <sharedItems containsSemiMixedTypes="0" containsNonDate="0" containsDate="1" containsString="0" minDate="2021-12-25T00:00:00" maxDate="2022-05-01T00:00:00"/>
    </cacheField>
    <cacheField name="AmountDC" numFmtId="0">
      <sharedItems containsSemiMixedTypes="0" containsString="0" containsNumber="1" minValue="-2700" maxValue="5352.46"/>
    </cacheField>
    <cacheField name="bedrag" numFmtId="0">
      <sharedItems containsSemiMixedTypes="0" containsString="0" containsNumber="1" minValue="-2700" maxValue="5352.46"/>
    </cacheField>
    <cacheField name="Description" numFmtId="0">
      <sharedItems containsDate="1" containsBlank="1" containsMixedTypes="1" minDate="2022-01-01T00:00:00" maxDate="2022-01-02T00:00:00"/>
    </cacheField>
    <cacheField name="GLAccountCodeDescriptionCode" numFmtId="0">
      <sharedItems containsSemiMixedTypes="0" containsString="0" containsNumber="1" containsInteger="1" minValue="61000000" maxValue="70679010"/>
    </cacheField>
    <cacheField name="GLAccountCodeDescriptionDescription" numFmtId="0">
      <sharedItems/>
    </cacheField>
    <cacheField name="grootboekrekening" numFmtId="0">
      <sharedItems count="62">
        <s v="61000000 Huur zalen, uitrusting, pauzes"/>
        <s v="61010000 Huur bureau leuven"/>
        <s v="61011000 Verzekering exploitatie, verenigingswerkers en vrijwilligers"/>
        <s v="61020000 Drukwerken"/>
        <s v="61023000 Erelonen"/>
        <s v="61025000 Documentatie-abonnementen"/>
        <s v="61053000 Verkeersbelasting personenwagens"/>
        <s v="61113000 Onderhoud &amp; tax bedrijfswagen"/>
        <s v="61115000 Brandstof bedrijfswagen"/>
        <s v="61231000 Abonnementen en lidmaatschap"/>
        <s v="61241000 Bureaumateriaal &amp; drukwerk"/>
        <s v="61243000 Informaticamateriaal &amp; software"/>
        <s v="61244000 Internet site"/>
        <s v="61271000 Telecommunicatie"/>
        <s v="61314000 Prestaties boekhouder"/>
        <s v="61315000 Vergoeding professoren"/>
        <s v="61320000 Bijdragen aan sodexo"/>
        <s v="61321000 Bijdragen aan sociaal secretariaat"/>
        <s v="61332000 Verzekeringen locaal"/>
        <s v="61333000 Verzekering bedrijfswagen"/>
        <s v="61412000 Reizen en verplaatsingen"/>
        <s v="61413000 Vergadering-recepties"/>
        <s v="61415000 Parking"/>
        <s v="61416000 Verplaatsingskosten leraars"/>
        <s v="61513000 Geschenken aan derden"/>
        <s v="61540000 Prijs atic - marcel herman"/>
        <s v="61624000 Passiefhuis platform"/>
        <s v="62020000 Bedienden bruto"/>
        <s v="62111000 Werkgeversbijdragen"/>
        <s v="62115000 Groepsverzekering"/>
        <s v="62300000 Verzekering"/>
        <s v="62301000 Andere personeelskosten"/>
        <s v="62311000 Maaltijdcheques + eco cheques"/>
        <s v="63020000 Afschrijvingen gebouwen"/>
        <s v="63023000 Afschrijvingen installaties, machines en uitrusting"/>
        <s v="65021000 Bankkosten"/>
        <s v="70307000 Studiedag 1"/>
        <s v="70510000 Bijdragen individuele leden"/>
        <s v="70512000 Bijdrage bedrijfsleden"/>
        <s v="70596000 Diverse inkomsten"/>
        <s v="70616000 Inschrijvingen cyclus i"/>
        <s v="70679000 Inschrijvingen cyclus IV - A/B/C"/>
        <s v="70679010 Inschrijving cyclus Sanitair"/>
        <s v="55600000 Record 652-8463059-85" u="1"/>
        <s v="44000000 Leveranciers" u="1"/>
        <s v="49900000 Wachtrekeningen" u="1"/>
        <s v="55700000 Kbc" u="1"/>
        <s v="45400000 Rsz te betalen" u="1"/>
        <s v="49100000 Verkregen opbrengsten" u="1"/>
        <s v="58020000 Mastercard / visa" u="1"/>
        <s v="58000000 Interne overboekingen" u="1"/>
        <s v="23100009 Afschrijvingen op installaties, machines en uitrusting in vo" u="1"/>
        <s v="45300000 Ingehouden voorheffingen" u="1"/>
        <s v="45500000 Bezoldigingen" u="1"/>
        <s v="40000000 Klanten" u="1"/>
        <s v="40600000 Vooruitbetalingen" u="1"/>
        <s v="24191000 Afschr informatica" u="1"/>
        <s v="49000000 Over te dragen kosten" u="1"/>
        <s v="53200000 Termijndeposito's &lt; maand" u="1"/>
        <s v="55200000 Bnp paribas" u="1"/>
        <s v="55820000 Visa/mastercard" u="1"/>
        <s v="49200000 Toe te rekenen kosten" u="1"/>
      </sharedItems>
    </cacheField>
    <cacheField name="kostenplaats" numFmtId="0">
      <sharedItems containsBlank="1" count="9">
        <s v="2 (2) - Commissie technisch onderwijs"/>
        <s v="7 (7) - Infrastructuur"/>
        <s v="1 (1) - Algemene administratie"/>
        <s v="5 (5) - Commissie prijzen"/>
        <s v="3 (3) - Commissie conferenties"/>
        <s v="6 (6) - Lidgelden"/>
        <s v="9 (9) - Personeel"/>
        <s v="13 (13) - Financiële kosten &amp; opbrengsten"/>
        <m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1">
  <r>
    <s v="CFAAN"/>
    <n v="20220013"/>
    <d v="2022-01-19T00:00:00"/>
    <n v="762.3"/>
    <n v="762.3"/>
    <m/>
    <n v="61000000"/>
    <s v="Huur zalen, uitrusting, pauzes"/>
    <x v="0"/>
    <x v="0"/>
  </r>
  <r>
    <s v="CFAAN"/>
    <n v="20220048"/>
    <d v="2022-03-01T00:00:00"/>
    <n v="2586.44"/>
    <n v="2586.44"/>
    <m/>
    <n v="61000000"/>
    <s v="Huur zalen, uitrusting, pauzes"/>
    <x v="0"/>
    <x v="0"/>
  </r>
  <r>
    <s v="CFAAN"/>
    <n v="20220034"/>
    <d v="2022-01-12T00:00:00"/>
    <n v="922.06"/>
    <n v="922.06"/>
    <m/>
    <n v="61010000"/>
    <s v="Huur bureau leuven"/>
    <x v="1"/>
    <x v="1"/>
  </r>
  <r>
    <s v="CFAAN"/>
    <n v="20220040"/>
    <d v="2022-02-09T00:00:00"/>
    <n v="884.55"/>
    <n v="884.55"/>
    <m/>
    <n v="61010000"/>
    <s v="Huur bureau leuven"/>
    <x v="1"/>
    <x v="1"/>
  </r>
  <r>
    <s v="CFAAN"/>
    <n v="20220044"/>
    <d v="2022-02-28T00:00:00"/>
    <n v="219.38"/>
    <n v="219.38"/>
    <m/>
    <n v="61010000"/>
    <s v="Huur bureau leuven"/>
    <x v="1"/>
    <x v="1"/>
  </r>
  <r>
    <s v="CFAAN"/>
    <n v="20220047"/>
    <d v="2022-03-01T00:00:00"/>
    <n v="884.55"/>
    <n v="884.55"/>
    <m/>
    <n v="61010000"/>
    <s v="Huur bureau leuven"/>
    <x v="1"/>
    <x v="1"/>
  </r>
  <r>
    <s v="CFAAN"/>
    <n v="20220064"/>
    <d v="2022-03-31T00:00:00"/>
    <n v="387.94"/>
    <n v="387.94"/>
    <m/>
    <n v="61010000"/>
    <s v="Huur bureau leuven"/>
    <x v="1"/>
    <x v="1"/>
  </r>
  <r>
    <s v="CFAAN"/>
    <n v="20220068"/>
    <d v="2022-04-01T00:00:00"/>
    <n v="884.55"/>
    <n v="884.55"/>
    <m/>
    <n v="61010000"/>
    <s v="Huur bureau leuven"/>
    <x v="1"/>
    <x v="1"/>
  </r>
  <r>
    <s v="CFAAN"/>
    <n v="20220011"/>
    <d v="2021-12-25T00:00:00"/>
    <n v="176.07"/>
    <n v="176.07"/>
    <m/>
    <n v="61011000"/>
    <s v="Verzekering exploitatie, verenigingswerkers en vrijwilligers"/>
    <x v="2"/>
    <x v="2"/>
  </r>
  <r>
    <s v="CFAAN"/>
    <n v="20220087"/>
    <d v="2022-04-24T00:00:00"/>
    <n v="218.53"/>
    <n v="218.53"/>
    <s v="aanpassing poster 2022"/>
    <n v="61020000"/>
    <s v="Drukwerken"/>
    <x v="3"/>
    <x v="3"/>
  </r>
  <r>
    <s v="CFAAN"/>
    <n v="20220028"/>
    <d v="2022-02-10T00:00:00"/>
    <n v="19.12"/>
    <n v="19.12"/>
    <s v="sodexo"/>
    <n v="61023000"/>
    <s v="Erelonen"/>
    <x v="4"/>
    <x v="2"/>
  </r>
  <r>
    <s v="CFAAN"/>
    <n v="20220084"/>
    <d v="2022-04-13T00:00:00"/>
    <n v="25.07"/>
    <n v="25.07"/>
    <m/>
    <n v="61023000"/>
    <s v="Erelonen"/>
    <x v="4"/>
    <x v="2"/>
  </r>
  <r>
    <s v="CFAAN"/>
    <n v="20220089"/>
    <d v="2022-04-28T00:00:00"/>
    <n v="15.49"/>
    <n v="15.49"/>
    <m/>
    <n v="61023000"/>
    <s v="Erelonen"/>
    <x v="4"/>
    <x v="2"/>
  </r>
  <r>
    <n v="80"/>
    <n v="22800001"/>
    <d v="2022-01-01T00:00:00"/>
    <n v="109.99"/>
    <n v="109.99"/>
    <s v="visa mei-juni 2021 canva"/>
    <n v="61025000"/>
    <s v="Documentatie-abonnementen"/>
    <x v="5"/>
    <x v="2"/>
  </r>
  <r>
    <s v="CFAAN"/>
    <n v="20220082"/>
    <d v="2022-03-25T00:00:00"/>
    <n v="201.3"/>
    <n v="201.3"/>
    <m/>
    <n v="61053000"/>
    <s v="Verkeersbelasting personenwagens"/>
    <x v="6"/>
    <x v="2"/>
  </r>
  <r>
    <s v="CFAAN"/>
    <n v="20220036"/>
    <d v="2022-01-22T00:00:00"/>
    <n v="9.99"/>
    <n v="9.99"/>
    <m/>
    <n v="61113000"/>
    <s v="Onderhoud &amp; tax bedrijfswagen"/>
    <x v="7"/>
    <x v="2"/>
  </r>
  <r>
    <s v="CFAAN"/>
    <n v="20220038"/>
    <d v="2022-02-03T00:00:00"/>
    <n v="490"/>
    <n v="490"/>
    <m/>
    <n v="61113000"/>
    <s v="Onderhoud &amp; tax bedrijfswagen"/>
    <x v="7"/>
    <x v="2"/>
  </r>
  <r>
    <s v="CFAAN"/>
    <n v="20220029"/>
    <d v="2022-02-11T00:00:00"/>
    <n v="38.9"/>
    <n v="38.9"/>
    <m/>
    <n v="61113000"/>
    <s v="Onderhoud &amp; tax bedrijfswagen"/>
    <x v="7"/>
    <x v="2"/>
  </r>
  <r>
    <s v="CFAAN"/>
    <n v="20220065"/>
    <d v="2022-04-01T00:00:00"/>
    <n v="999.61"/>
    <n v="999.61"/>
    <s v="1cka891"/>
    <n v="61113000"/>
    <s v="Onderhoud &amp; tax bedrijfswagen"/>
    <x v="7"/>
    <x v="2"/>
  </r>
  <r>
    <n v="10"/>
    <n v="22100004"/>
    <d v="2022-01-06T00:00:00"/>
    <n v="79.650000000000006"/>
    <n v="79.650000000000006"/>
    <s v="LUKOIL 135 KESSE KESSEL LO          LUKOIL 135 KESSE KESSEL"/>
    <n v="61115000"/>
    <s v="Brandstof bedrijfswagen"/>
    <x v="8"/>
    <x v="2"/>
  </r>
  <r>
    <n v="10"/>
    <n v="22100009"/>
    <d v="2022-01-13T00:00:00"/>
    <n v="35.54"/>
    <n v="35.54"/>
    <s v="Q8 108075 LEUVEN LEUVEN             Q8 108075 LEUVEN LEUVEN"/>
    <n v="61115000"/>
    <s v="Brandstof bedrijfswagen"/>
    <x v="8"/>
    <x v="2"/>
  </r>
  <r>
    <n v="10"/>
    <n v="22100011"/>
    <d v="2022-01-15T00:00:00"/>
    <n v="60.79"/>
    <n v="60.79"/>
    <s v="LUKOIL 135 KESSE KESSEL LO          LUKOIL 135 KESSE KESSEL"/>
    <n v="61115000"/>
    <s v="Brandstof bedrijfswagen"/>
    <x v="8"/>
    <x v="2"/>
  </r>
  <r>
    <n v="10"/>
    <n v="22100021"/>
    <d v="2022-01-27T00:00:00"/>
    <n v="77.59"/>
    <n v="77.59"/>
    <s v="LUKOIL 135 KESSE KESSEL LO          LUKOIL 135 KESSE KESSEL"/>
    <n v="61115000"/>
    <s v="Brandstof bedrijfswagen"/>
    <x v="8"/>
    <x v="2"/>
  </r>
  <r>
    <n v="10"/>
    <n v="22100025"/>
    <d v="2022-02-06T00:00:00"/>
    <n v="85.49"/>
    <n v="85.49"/>
    <s v="3594 DATS 24 NOS NOSSEGEM           3594 DATS 24 NOS NOSSEGE"/>
    <n v="61115000"/>
    <s v="Brandstof bedrijfswagen"/>
    <x v="8"/>
    <x v="2"/>
  </r>
  <r>
    <n v="10"/>
    <n v="22100037"/>
    <d v="2022-02-21T00:00:00"/>
    <n v="82.15"/>
    <n v="82.15"/>
    <s v="LUKOIL 135 KESSE KESSEL LO          LUKOIL 135 KESSE KESSEL"/>
    <n v="61115000"/>
    <s v="Brandstof bedrijfswagen"/>
    <x v="8"/>
    <x v="2"/>
  </r>
  <r>
    <n v="10"/>
    <n v="22100054"/>
    <d v="2022-03-16T00:00:00"/>
    <n v="20.03"/>
    <n v="20.03"/>
    <s v="LUKOIL 135 KESSE KESSEL LO          LUKOIL 135 KESSE KESSEL"/>
    <n v="61115000"/>
    <s v="Brandstof bedrijfswagen"/>
    <x v="8"/>
    <x v="2"/>
  </r>
  <r>
    <n v="10"/>
    <n v="22100057"/>
    <d v="2022-03-19T00:00:00"/>
    <n v="85.07"/>
    <n v="85.07"/>
    <s v="LUKOIL 135 KESSE KESSEL LO          LUKOIL 135 KESSE KESSEL"/>
    <n v="61115000"/>
    <s v="Brandstof bedrijfswagen"/>
    <x v="8"/>
    <x v="2"/>
  </r>
  <r>
    <n v="10"/>
    <n v="22100068"/>
    <d v="2022-04-01T00:00:00"/>
    <n v="22.56"/>
    <n v="22.56"/>
    <s v="LUKOIL 135 KESSE KESSEL LO          LUKOIL 135 KESSE KESSEL"/>
    <n v="61115000"/>
    <s v="Brandstof bedrijfswagen"/>
    <x v="8"/>
    <x v="2"/>
  </r>
  <r>
    <n v="10"/>
    <n v="22100071"/>
    <d v="2022-04-06T00:00:00"/>
    <n v="89.38"/>
    <n v="89.38"/>
    <s v="7340 DATS 24 HAA LEUVEN             7340 DATS 24 HAA LEUVEN"/>
    <n v="61115000"/>
    <s v="Brandstof bedrijfswagen"/>
    <x v="8"/>
    <x v="2"/>
  </r>
  <r>
    <n v="10"/>
    <n v="22100084"/>
    <d v="2022-04-23T00:00:00"/>
    <n v="86.22"/>
    <n v="86.22"/>
    <s v="LUKOIL 135 KESSE KESSEL LO          LUKOIL 135 KESSE KESSEL"/>
    <n v="61115000"/>
    <s v="Brandstof bedrijfswagen"/>
    <x v="8"/>
    <x v="2"/>
  </r>
  <r>
    <n v="80"/>
    <n v="22800001"/>
    <d v="2022-01-01T00:00:00"/>
    <n v="16.93"/>
    <n v="16.93"/>
    <s v="visa mei-juni 2021"/>
    <n v="61231000"/>
    <s v="Abonnementen en lidmaatschap"/>
    <x v="9"/>
    <x v="2"/>
  </r>
  <r>
    <n v="80"/>
    <n v="22800001"/>
    <d v="2022-01-01T00:00:00"/>
    <n v="16.93"/>
    <n v="16.93"/>
    <s v="visa mei-juni 2021"/>
    <n v="61231000"/>
    <s v="Abonnementen en lidmaatschap"/>
    <x v="9"/>
    <x v="2"/>
  </r>
  <r>
    <s v="CFAAN"/>
    <n v="20220008"/>
    <d v="2022-01-17T00:00:00"/>
    <n v="2850"/>
    <n v="2850"/>
    <m/>
    <n v="61231000"/>
    <s v="Abonnementen en lidmaatschap"/>
    <x v="9"/>
    <x v="2"/>
  </r>
  <r>
    <s v="CFAAN"/>
    <n v="20220042"/>
    <d v="2022-02-20T00:00:00"/>
    <n v="16.93"/>
    <n v="16.93"/>
    <m/>
    <n v="61231000"/>
    <s v="Abonnementen en lidmaatschap"/>
    <x v="9"/>
    <x v="2"/>
  </r>
  <r>
    <s v="CFAAN"/>
    <n v="20220003"/>
    <d v="2022-01-03T00:00:00"/>
    <n v="15.25"/>
    <n v="15.25"/>
    <m/>
    <n v="61241000"/>
    <s v="Bureaumateriaal &amp; drukwerk"/>
    <x v="10"/>
    <x v="4"/>
  </r>
  <r>
    <s v="CFAAN"/>
    <n v="20220017"/>
    <d v="2022-01-31T00:00:00"/>
    <n v="31.62"/>
    <n v="31.62"/>
    <m/>
    <n v="61241000"/>
    <s v="Bureaumateriaal &amp; drukwerk"/>
    <x v="10"/>
    <x v="2"/>
  </r>
  <r>
    <s v="CFAAN"/>
    <n v="20220039"/>
    <d v="2022-02-07T00:00:00"/>
    <n v="65.5"/>
    <n v="65.5"/>
    <m/>
    <n v="61241000"/>
    <s v="Bureaumateriaal &amp; drukwerk"/>
    <x v="10"/>
    <x v="4"/>
  </r>
  <r>
    <s v="CFAAN"/>
    <n v="20220078"/>
    <d v="2022-02-28T00:00:00"/>
    <n v="5.64"/>
    <n v="5.64"/>
    <m/>
    <n v="61241000"/>
    <s v="Bureaumateriaal &amp; drukwerk"/>
    <x v="10"/>
    <x v="2"/>
  </r>
  <r>
    <s v="CFAAN"/>
    <n v="20220053"/>
    <d v="2022-03-07T00:00:00"/>
    <n v="10.5"/>
    <n v="10.5"/>
    <m/>
    <n v="61241000"/>
    <s v="Bureaumateriaal &amp; drukwerk"/>
    <x v="10"/>
    <x v="4"/>
  </r>
  <r>
    <s v="CFAAN"/>
    <n v="20220055"/>
    <d v="2022-03-09T00:00:00"/>
    <n v="1027.29"/>
    <n v="1027.29"/>
    <m/>
    <n v="61241000"/>
    <s v="Bureaumateriaal &amp; drukwerk"/>
    <x v="10"/>
    <x v="2"/>
  </r>
  <r>
    <s v="CFAAN"/>
    <n v="20220056"/>
    <d v="2022-03-11T00:00:00"/>
    <n v="16.5"/>
    <n v="16.5"/>
    <m/>
    <n v="61241000"/>
    <s v="Bureaumateriaal &amp; drukwerk"/>
    <x v="10"/>
    <x v="2"/>
  </r>
  <r>
    <s v="CFAAN"/>
    <n v="20220079"/>
    <d v="2022-03-31T00:00:00"/>
    <n v="3.81"/>
    <n v="3.81"/>
    <m/>
    <n v="61241000"/>
    <s v="Bureaumateriaal &amp; drukwerk"/>
    <x v="10"/>
    <x v="2"/>
  </r>
  <r>
    <s v="CFAAN"/>
    <n v="20220067"/>
    <d v="2022-04-01T00:00:00"/>
    <n v="566.28"/>
    <n v="566.28"/>
    <m/>
    <n v="61241000"/>
    <s v="Bureaumateriaal &amp; drukwerk"/>
    <x v="10"/>
    <x v="4"/>
  </r>
  <r>
    <s v="CFAAN"/>
    <n v="20220071"/>
    <d v="2022-04-04T00:00:00"/>
    <n v="6.26"/>
    <n v="6.26"/>
    <m/>
    <n v="61241000"/>
    <s v="Bureaumateriaal &amp; drukwerk"/>
    <x v="10"/>
    <x v="4"/>
  </r>
  <r>
    <s v="CFAAN"/>
    <n v="20220085"/>
    <d v="2022-04-21T00:00:00"/>
    <n v="38.49"/>
    <n v="38.49"/>
    <s v="action"/>
    <n v="61241000"/>
    <s v="Bureaumateriaal &amp; drukwerk"/>
    <x v="10"/>
    <x v="2"/>
  </r>
  <r>
    <s v="CFAAN"/>
    <n v="20220080"/>
    <d v="2022-04-30T00:00:00"/>
    <n v="12.98"/>
    <n v="12.98"/>
    <m/>
    <n v="61241000"/>
    <s v="Bureaumateriaal &amp; drukwerk"/>
    <x v="10"/>
    <x v="2"/>
  </r>
  <r>
    <s v="CFAAN"/>
    <n v="20220006"/>
    <d v="2022-01-05T00:00:00"/>
    <n v="31.74"/>
    <n v="31.74"/>
    <m/>
    <n v="61243000"/>
    <s v="Informaticamateriaal &amp; software"/>
    <x v="11"/>
    <x v="2"/>
  </r>
  <r>
    <s v="CFAAN"/>
    <n v="20220018"/>
    <d v="2022-01-31T00:00:00"/>
    <n v="48.4"/>
    <n v="48.4"/>
    <m/>
    <n v="61243000"/>
    <s v="Informaticamateriaal &amp; software"/>
    <x v="11"/>
    <x v="2"/>
  </r>
  <r>
    <n v="87"/>
    <n v="22870001"/>
    <d v="2022-01-31T00:00:00"/>
    <n v="17.38"/>
    <n v="17.38"/>
    <s v="Uitgesteld 20210074 betaling do 15-04-2021-15-04-2022 31/366"/>
    <n v="61243000"/>
    <s v="Informaticamateriaal &amp; software"/>
    <x v="11"/>
    <x v="2"/>
  </r>
  <r>
    <s v="CFAAN"/>
    <n v="20220026"/>
    <d v="2022-02-04T00:00:00"/>
    <n v="36.299999999999997"/>
    <n v="36.299999999999997"/>
    <m/>
    <n v="61243000"/>
    <s v="Informaticamateriaal &amp; software"/>
    <x v="11"/>
    <x v="2"/>
  </r>
  <r>
    <n v="87"/>
    <n v="22870002"/>
    <d v="2022-02-28T00:00:00"/>
    <n v="15.7"/>
    <n v="15.7"/>
    <s v="Uitgesteld 20210074 betaling do 15-04-2021-15-04-2022 28/366"/>
    <n v="61243000"/>
    <s v="Informaticamateriaal &amp; software"/>
    <x v="11"/>
    <x v="2"/>
  </r>
  <r>
    <s v="CFAAN"/>
    <n v="20220052"/>
    <d v="2022-03-04T00:00:00"/>
    <n v="36.299999999999997"/>
    <n v="36.299999999999997"/>
    <m/>
    <n v="61243000"/>
    <s v="Informaticamateriaal &amp; software"/>
    <x v="11"/>
    <x v="2"/>
  </r>
  <r>
    <n v="87"/>
    <n v="22870003"/>
    <d v="2022-03-31T00:00:00"/>
    <n v="17.38"/>
    <n v="17.38"/>
    <s v="Uitgesteld 20210074 betaling do 15-04-2021-15-04-2022 31/366"/>
    <n v="61243000"/>
    <s v="Informaticamateriaal &amp; software"/>
    <x v="11"/>
    <x v="2"/>
  </r>
  <r>
    <s v="CFAAN"/>
    <n v="20220072"/>
    <d v="2022-04-05T00:00:00"/>
    <n v="36.299999999999997"/>
    <n v="36.299999999999997"/>
    <m/>
    <n v="61243000"/>
    <s v="Informaticamateriaal &amp; software"/>
    <x v="11"/>
    <x v="2"/>
  </r>
  <r>
    <n v="87"/>
    <n v="22870004"/>
    <d v="2022-04-15T00:00:00"/>
    <n v="8.41"/>
    <n v="8.41"/>
    <s v="Uitgesteld 20210074 betaling do 15-04-2021-15-04-2022 15/366"/>
    <n v="61243000"/>
    <s v="Informaticamateriaal &amp; software"/>
    <x v="11"/>
    <x v="2"/>
  </r>
  <r>
    <s v="CFAAN"/>
    <n v="20220090"/>
    <d v="2022-04-29T00:00:00"/>
    <n v="121"/>
    <n v="121"/>
    <m/>
    <n v="61243000"/>
    <s v="Informaticamateriaal &amp; software"/>
    <x v="11"/>
    <x v="2"/>
  </r>
  <r>
    <s v="CFAAN"/>
    <n v="20220001"/>
    <d v="2022-01-01T00:00:00"/>
    <n v="816.75"/>
    <n v="816.75"/>
    <m/>
    <n v="61244000"/>
    <s v="Internet site"/>
    <x v="12"/>
    <x v="2"/>
  </r>
  <r>
    <s v="CFAAN"/>
    <n v="20220025"/>
    <d v="2022-02-02T00:00:00"/>
    <n v="0"/>
    <n v="0"/>
    <m/>
    <n v="61244000"/>
    <s v="Internet site"/>
    <x v="12"/>
    <x v="2"/>
  </r>
  <r>
    <s v="CFAAN"/>
    <n v="20220083"/>
    <d v="2022-04-01T00:00:00"/>
    <n v="726"/>
    <n v="726"/>
    <m/>
    <n v="61244000"/>
    <s v="Internet site"/>
    <x v="12"/>
    <x v="2"/>
  </r>
  <r>
    <s v="CFAAN"/>
    <n v="20220069"/>
    <d v="2022-04-02T00:00:00"/>
    <n v="0"/>
    <n v="0"/>
    <m/>
    <n v="61244000"/>
    <s v="Internet site"/>
    <x v="12"/>
    <x v="2"/>
  </r>
  <r>
    <s v="CFAAN"/>
    <n v="20220002"/>
    <d v="2022-01-01T00:00:00"/>
    <n v="64.69"/>
    <n v="64.69"/>
    <m/>
    <n v="61271000"/>
    <s v="Telecommunicatie"/>
    <x v="13"/>
    <x v="2"/>
  </r>
  <r>
    <s v="CFAAN"/>
    <n v="20220016"/>
    <d v="2022-01-23T00:00:00"/>
    <n v="50.26"/>
    <n v="50.26"/>
    <m/>
    <n v="61271000"/>
    <s v="Telecommunicatie"/>
    <x v="13"/>
    <x v="2"/>
  </r>
  <r>
    <s v="CFAAN"/>
    <n v="20220021"/>
    <d v="2022-02-01T00:00:00"/>
    <n v="63.79"/>
    <n v="63.79"/>
    <m/>
    <n v="61271000"/>
    <s v="Telecommunicatie"/>
    <x v="13"/>
    <x v="2"/>
  </r>
  <r>
    <s v="CFAAN"/>
    <n v="20220020"/>
    <d v="2022-02-01T00:00:00"/>
    <n v="11.15"/>
    <n v="11.15"/>
    <m/>
    <n v="61271000"/>
    <s v="Telecommunicatie"/>
    <x v="13"/>
    <x v="2"/>
  </r>
  <r>
    <s v="CFAAN"/>
    <n v="20220043"/>
    <d v="2022-02-23T00:00:00"/>
    <n v="47.35"/>
    <n v="47.35"/>
    <m/>
    <n v="61271000"/>
    <s v="Telecommunicatie"/>
    <x v="13"/>
    <x v="2"/>
  </r>
  <r>
    <s v="CFAAN"/>
    <n v="20220049"/>
    <d v="2022-03-01T00:00:00"/>
    <n v="73"/>
    <n v="73"/>
    <m/>
    <n v="61271000"/>
    <s v="Telecommunicatie"/>
    <x v="13"/>
    <x v="2"/>
  </r>
  <r>
    <s v="CFAAN"/>
    <n v="20220060"/>
    <d v="2022-03-23T00:00:00"/>
    <n v="45.07"/>
    <n v="45.07"/>
    <m/>
    <n v="61271000"/>
    <s v="Telecommunicatie"/>
    <x v="13"/>
    <x v="2"/>
  </r>
  <r>
    <s v="CFAAN"/>
    <n v="20220066"/>
    <d v="2022-04-01T00:00:00"/>
    <n v="73"/>
    <n v="73"/>
    <m/>
    <n v="61271000"/>
    <s v="Telecommunicatie"/>
    <x v="13"/>
    <x v="2"/>
  </r>
  <r>
    <s v="CFAAN"/>
    <n v="20220086"/>
    <d v="2022-04-23T00:00:00"/>
    <n v="50.94"/>
    <n v="50.94"/>
    <m/>
    <n v="61271000"/>
    <s v="Telecommunicatie"/>
    <x v="13"/>
    <x v="2"/>
  </r>
  <r>
    <s v="CFAAN"/>
    <n v="20220030"/>
    <d v="2022-02-11T00:00:00"/>
    <n v="1267.04"/>
    <n v="1267.04"/>
    <m/>
    <n v="61314000"/>
    <s v="Prestaties boekhouder"/>
    <x v="14"/>
    <x v="2"/>
  </r>
  <r>
    <s v="CFAAN"/>
    <n v="20220009"/>
    <d v="2022-01-17T00:00:00"/>
    <n v="2178"/>
    <n v="2178"/>
    <s v="cyclus 4C"/>
    <n v="61315000"/>
    <s v="Vergoeding professoren"/>
    <x v="15"/>
    <x v="0"/>
  </r>
  <r>
    <s v="CFAAN"/>
    <n v="20220014"/>
    <d v="2022-01-20T00:00:00"/>
    <n v="450"/>
    <n v="450"/>
    <m/>
    <n v="61315000"/>
    <s v="Vergoeding professoren"/>
    <x v="15"/>
    <x v="0"/>
  </r>
  <r>
    <s v="CFAAN"/>
    <n v="20220015"/>
    <d v="2022-01-22T00:00:00"/>
    <n v="450"/>
    <n v="450"/>
    <m/>
    <n v="61315000"/>
    <s v="Vergoeding professoren"/>
    <x v="15"/>
    <x v="0"/>
  </r>
  <r>
    <s v="CFAAN"/>
    <n v="20220027"/>
    <d v="2022-02-05T00:00:00"/>
    <n v="225"/>
    <n v="225"/>
    <m/>
    <n v="61315000"/>
    <s v="Vergoeding professoren"/>
    <x v="15"/>
    <x v="0"/>
  </r>
  <r>
    <s v="CFAAN"/>
    <n v="20220031"/>
    <d v="2022-02-11T00:00:00"/>
    <n v="2178"/>
    <n v="2178"/>
    <m/>
    <n v="61315000"/>
    <s v="Vergoeding professoren"/>
    <x v="15"/>
    <x v="0"/>
  </r>
  <r>
    <s v="CFAAN"/>
    <n v="20220058"/>
    <d v="2022-03-19T00:00:00"/>
    <n v="450"/>
    <n v="450"/>
    <s v="cyclus II"/>
    <n v="61315000"/>
    <s v="Vergoeding professoren"/>
    <x v="15"/>
    <x v="0"/>
  </r>
  <r>
    <s v="CFAAN"/>
    <n v="20220062"/>
    <d v="2022-03-26T00:00:00"/>
    <n v="450"/>
    <n v="450"/>
    <s v="cyclus II"/>
    <n v="61315000"/>
    <s v="Vergoeding professoren"/>
    <x v="15"/>
    <x v="0"/>
  </r>
  <r>
    <s v="CFAAN"/>
    <n v="20220063"/>
    <d v="2022-03-29T00:00:00"/>
    <n v="126.81"/>
    <n v="126.81"/>
    <s v="cyclus II"/>
    <n v="61315000"/>
    <s v="Vergoeding professoren"/>
    <x v="15"/>
    <x v="0"/>
  </r>
  <r>
    <s v="CFAAN"/>
    <n v="20220076"/>
    <d v="2022-04-21T00:00:00"/>
    <n v="544.5"/>
    <n v="544.5"/>
    <s v="cyclus II"/>
    <n v="61315000"/>
    <s v="Vergoeding professoren"/>
    <x v="15"/>
    <x v="0"/>
  </r>
  <r>
    <s v="CFAAN"/>
    <n v="20220074"/>
    <d v="2022-04-13T00:00:00"/>
    <n v="25.07"/>
    <n v="25.07"/>
    <s v="sodexo"/>
    <n v="61320000"/>
    <s v="Bijdragen aan sodexo"/>
    <x v="16"/>
    <x v="2"/>
  </r>
  <r>
    <s v="CFAAN"/>
    <n v="20220019"/>
    <d v="2022-01-31T00:00:00"/>
    <n v="51.1"/>
    <n v="51.1"/>
    <m/>
    <n v="61321000"/>
    <s v="Bijdragen aan sociaal secretariaat"/>
    <x v="17"/>
    <x v="2"/>
  </r>
  <r>
    <s v="CFAAN"/>
    <n v="20220046"/>
    <d v="2022-02-28T00:00:00"/>
    <n v="253.17"/>
    <n v="253.17"/>
    <m/>
    <n v="61321000"/>
    <s v="Bijdragen aan sociaal secretariaat"/>
    <x v="17"/>
    <x v="2"/>
  </r>
  <r>
    <s v="CFAAN"/>
    <n v="20220077"/>
    <d v="2022-04-30T00:00:00"/>
    <n v="103.24"/>
    <n v="103.24"/>
    <m/>
    <n v="61321000"/>
    <s v="Bijdragen aan sociaal secretariaat"/>
    <x v="17"/>
    <x v="2"/>
  </r>
  <r>
    <n v="87"/>
    <n v="22870005"/>
    <d v="2022-01-31T00:00:00"/>
    <n v="7.05"/>
    <n v="7.05"/>
    <s v="Uitgesteld 20210261 18/12/2021- 18-12-2021-17-12-2022 31/365"/>
    <n v="61332000"/>
    <s v="Verzekeringen locaal"/>
    <x v="18"/>
    <x v="2"/>
  </r>
  <r>
    <n v="87"/>
    <n v="22870006"/>
    <d v="2022-02-28T00:00:00"/>
    <n v="6.37"/>
    <n v="6.37"/>
    <s v="Uitgesteld 20210261 18/12/2021- 18-12-2021-17-12-2022 28/365"/>
    <n v="61332000"/>
    <s v="Verzekeringen locaal"/>
    <x v="18"/>
    <x v="2"/>
  </r>
  <r>
    <n v="87"/>
    <n v="22870007"/>
    <d v="2022-03-31T00:00:00"/>
    <n v="7.05"/>
    <n v="7.05"/>
    <s v="Uitgesteld 20210261 18/12/2021- 18-12-2021-17-12-2022 31/365"/>
    <n v="61332000"/>
    <s v="Verzekeringen locaal"/>
    <x v="18"/>
    <x v="2"/>
  </r>
  <r>
    <n v="87"/>
    <n v="22870008"/>
    <d v="2022-04-30T00:00:00"/>
    <n v="6.82"/>
    <n v="6.82"/>
    <s v="Uitgesteld 20210261 18/12/2021- 18-12-2021-17-12-2022 30/365"/>
    <n v="61332000"/>
    <s v="Verzekeringen locaal"/>
    <x v="18"/>
    <x v="2"/>
  </r>
  <r>
    <n v="80"/>
    <n v="22800004"/>
    <d v="2022-01-01T00:00:00"/>
    <n v="661.41"/>
    <n v="661.41"/>
    <s v="otdk 61333000 4/12/2021-4/12/2022"/>
    <n v="61333000"/>
    <s v="Verzekering bedrijfswagen"/>
    <x v="19"/>
    <x v="2"/>
  </r>
  <r>
    <s v="CFAAN"/>
    <n v="20220033"/>
    <d v="2022-01-05T00:00:00"/>
    <n v="162.4"/>
    <n v="162.4"/>
    <m/>
    <n v="61412000"/>
    <s v="Reizen en verplaatsingen"/>
    <x v="20"/>
    <x v="2"/>
  </r>
  <r>
    <s v="CFAAN"/>
    <n v="20220007"/>
    <d v="2022-01-06T00:00:00"/>
    <n v="51.87"/>
    <n v="51.87"/>
    <m/>
    <n v="61413000"/>
    <s v="Vergadering-recepties"/>
    <x v="21"/>
    <x v="2"/>
  </r>
  <r>
    <s v="CFAAN"/>
    <n v="20220035"/>
    <d v="2022-01-14T00:00:00"/>
    <n v="9.75"/>
    <n v="9.75"/>
    <m/>
    <n v="61413000"/>
    <s v="Vergadering-recepties"/>
    <x v="21"/>
    <x v="2"/>
  </r>
  <r>
    <s v="CFAAN"/>
    <n v="20220041"/>
    <d v="2022-02-17T00:00:00"/>
    <n v="12.95"/>
    <n v="12.95"/>
    <m/>
    <n v="61413000"/>
    <s v="Vergadering-recepties"/>
    <x v="21"/>
    <x v="2"/>
  </r>
  <r>
    <s v="CFAAN"/>
    <n v="20220054"/>
    <d v="2022-03-09T00:00:00"/>
    <n v="54.71"/>
    <n v="54.71"/>
    <m/>
    <n v="61413000"/>
    <s v="Vergadering-recepties"/>
    <x v="21"/>
    <x v="2"/>
  </r>
  <r>
    <s v="CFAAN"/>
    <n v="20220070"/>
    <d v="2022-04-04T00:00:00"/>
    <n v="7.38"/>
    <n v="7.38"/>
    <m/>
    <n v="61413000"/>
    <s v="Vergadering-recepties"/>
    <x v="21"/>
    <x v="2"/>
  </r>
  <r>
    <s v="CFAAN"/>
    <n v="20220073"/>
    <d v="2022-04-09T00:00:00"/>
    <n v="25.9"/>
    <n v="25.9"/>
    <m/>
    <n v="61413000"/>
    <s v="Vergadering-recepties"/>
    <x v="21"/>
    <x v="2"/>
  </r>
  <r>
    <s v="CFAAN"/>
    <n v="20220037"/>
    <d v="2022-01-25T00:00:00"/>
    <n v="7.87"/>
    <n v="7.87"/>
    <m/>
    <n v="61415000"/>
    <s v="Parking"/>
    <x v="22"/>
    <x v="2"/>
  </r>
  <r>
    <s v="CFAAN"/>
    <n v="20220081"/>
    <d v="2022-01-25T00:00:00"/>
    <n v="7.87"/>
    <n v="7.87"/>
    <s v="[CF] dubbele entry: 7.87 &gt; 0 EUR"/>
    <n v="61415000"/>
    <s v="Parking"/>
    <x v="22"/>
    <x v="2"/>
  </r>
  <r>
    <s v="CFAAN"/>
    <n v="20220061"/>
    <d v="2022-03-25T00:00:00"/>
    <n v="10.9"/>
    <n v="10.9"/>
    <m/>
    <n v="61415000"/>
    <s v="Parking"/>
    <x v="22"/>
    <x v="2"/>
  </r>
  <r>
    <s v="CFAAN"/>
    <n v="20220088"/>
    <d v="2022-04-25T00:00:00"/>
    <n v="16.57"/>
    <n v="16.57"/>
    <m/>
    <n v="61415000"/>
    <s v="Parking"/>
    <x v="22"/>
    <x v="2"/>
  </r>
  <r>
    <s v="CFAAN"/>
    <n v="20220032"/>
    <d v="2022-02-13T00:00:00"/>
    <n v="974"/>
    <n v="974"/>
    <m/>
    <n v="61416000"/>
    <s v="Verplaatsingskosten leraars"/>
    <x v="23"/>
    <x v="0"/>
  </r>
  <r>
    <s v="CFAAN"/>
    <n v="20220059"/>
    <d v="2022-03-22T00:00:00"/>
    <n v="67.5"/>
    <n v="67.5"/>
    <m/>
    <n v="61513000"/>
    <s v="Geschenken aan derden"/>
    <x v="24"/>
    <x v="2"/>
  </r>
  <r>
    <n v="10"/>
    <n v="22100070"/>
    <d v="2022-04-05T00:00:00"/>
    <n v="100"/>
    <n v="100"/>
    <s v="UREEL THOMAS                        UW LAUREAATSPRIJS CYCLUS"/>
    <n v="61540000"/>
    <s v="Prijs atic - marcel herman"/>
    <x v="25"/>
    <x v="3"/>
  </r>
  <r>
    <n v="10"/>
    <n v="22100070"/>
    <d v="2022-04-05T00:00:00"/>
    <n v="100"/>
    <n v="100"/>
    <s v="GEROME FORTHOMME                    VOOR VALERY FORTUNE - LA"/>
    <n v="61540000"/>
    <s v="Prijs atic - marcel herman"/>
    <x v="25"/>
    <x v="3"/>
  </r>
  <r>
    <n v="10"/>
    <n v="22100085"/>
    <d v="2022-04-25T00:00:00"/>
    <n v="100"/>
    <n v="100"/>
    <s v="LIEVEN DEKEUKELEIRE                 LAUREAATSPRIJS CYCLUS 4D"/>
    <n v="61540000"/>
    <s v="Prijs atic - marcel herman"/>
    <x v="25"/>
    <x v="3"/>
  </r>
  <r>
    <n v="10"/>
    <n v="22100086"/>
    <d v="2022-04-26T00:00:00"/>
    <n v="200"/>
    <n v="200"/>
    <s v="LARS VANDEVELDE                     LAUREAATSPRIJS VOOR CYCL"/>
    <n v="61540000"/>
    <s v="Prijs atic - marcel herman"/>
    <x v="25"/>
    <x v="3"/>
  </r>
  <r>
    <n v="10"/>
    <n v="22100086"/>
    <d v="2022-04-26T00:00:00"/>
    <n v="200"/>
    <n v="200"/>
    <s v="LIEVEN DEKEUKELEIRE                 LAUREAATSPRIJS VOOR CYCL"/>
    <n v="61540000"/>
    <s v="Prijs atic - marcel herman"/>
    <x v="25"/>
    <x v="3"/>
  </r>
  <r>
    <n v="10"/>
    <n v="22100086"/>
    <d v="2022-04-26T00:00:00"/>
    <n v="100"/>
    <n v="100"/>
    <s v="UREEL THOMAS                        LAUREAT CYCLE 2 - 2020 -"/>
    <n v="61540000"/>
    <s v="Prijs atic - marcel herman"/>
    <x v="25"/>
    <x v="3"/>
  </r>
  <r>
    <n v="10"/>
    <n v="22100087"/>
    <d v="2022-04-27T00:00:00"/>
    <n v="100"/>
    <n v="100"/>
    <s v="GAETANO MINERVA                     PRIX LAUREAT CYCLE 2 - 2"/>
    <n v="61540000"/>
    <s v="Prijs atic - marcel herman"/>
    <x v="25"/>
    <x v="3"/>
  </r>
  <r>
    <s v="CFAAN"/>
    <n v="20220045"/>
    <d v="2022-02-28T00:00:00"/>
    <n v="383.57"/>
    <n v="383.57"/>
    <m/>
    <n v="61624000"/>
    <s v="Passiefhuis platform"/>
    <x v="26"/>
    <x v="5"/>
  </r>
  <r>
    <n v="84"/>
    <n v="22840001"/>
    <d v="2022-02-02T00:00:00"/>
    <n v="-141.66"/>
    <n v="-141.66"/>
    <s v="Persoonlijke bijdragen groepsverzekering, Cotisations person"/>
    <n v="62020000"/>
    <s v="Bedienden bruto"/>
    <x v="27"/>
    <x v="6"/>
  </r>
  <r>
    <n v="84"/>
    <n v="22840001"/>
    <d v="2022-02-02T00:00:00"/>
    <n v="5352.46"/>
    <n v="5352.46"/>
    <s v="Wedden bedienden, Salaires employés + 202201"/>
    <n v="62020000"/>
    <s v="Bedienden bruto"/>
    <x v="27"/>
    <x v="6"/>
  </r>
  <r>
    <n v="84"/>
    <n v="22840001"/>
    <d v="2022-02-02T00:00:00"/>
    <n v="100"/>
    <n v="100"/>
    <s v="Kosten eigen a/werkg. - reis/verbl. bed., Fr. propres à l'em"/>
    <n v="62020000"/>
    <s v="Bedienden bruto"/>
    <x v="27"/>
    <x v="6"/>
  </r>
  <r>
    <n v="84"/>
    <n v="22840001"/>
    <d v="2022-02-02T00:00:00"/>
    <n v="118.9"/>
    <n v="118.9"/>
    <s v="Verplaatsingsk. woonpl./werk bedienden, Frais dépl.domicile/"/>
    <n v="62020000"/>
    <s v="Bedienden bruto"/>
    <x v="27"/>
    <x v="6"/>
  </r>
  <r>
    <n v="84"/>
    <n v="22840001"/>
    <d v="2022-02-02T00:00:00"/>
    <n v="125"/>
    <n v="125"/>
    <s v="Kosten eigen aan werkgever bedienden, Frais propres à l'empl"/>
    <n v="62020000"/>
    <s v="Bedienden bruto"/>
    <x v="27"/>
    <x v="6"/>
  </r>
  <r>
    <n v="84"/>
    <n v="22840001"/>
    <d v="2022-02-02T00:00:00"/>
    <n v="-118.9"/>
    <n v="-118.9"/>
    <s v="Recup. voordelen alle aard - wagen, Récup. avantages toute n"/>
    <n v="62020000"/>
    <s v="Bedienden bruto"/>
    <x v="27"/>
    <x v="6"/>
  </r>
  <r>
    <n v="84"/>
    <n v="22840002"/>
    <d v="2022-03-02T00:00:00"/>
    <n v="107.4"/>
    <n v="107.4"/>
    <s v="Verplaatsingsk. woonpl./werk bedienden, Frais dépl.domicile/"/>
    <n v="62020000"/>
    <s v="Bedienden bruto"/>
    <x v="27"/>
    <x v="6"/>
  </r>
  <r>
    <n v="84"/>
    <n v="22840002"/>
    <d v="2022-03-02T00:00:00"/>
    <n v="-141.66"/>
    <n v="-141.66"/>
    <s v="Persoonlijke bijdragen groepsverzekering, Cotisations person"/>
    <n v="62020000"/>
    <s v="Bedienden bruto"/>
    <x v="27"/>
    <x v="6"/>
  </r>
  <r>
    <n v="84"/>
    <n v="22840002"/>
    <d v="2022-03-02T00:00:00"/>
    <n v="5352.46"/>
    <n v="5352.46"/>
    <s v="Wedden bedienden, Salaires employés + 202202"/>
    <n v="62020000"/>
    <s v="Bedienden bruto"/>
    <x v="27"/>
    <x v="6"/>
  </r>
  <r>
    <n v="84"/>
    <n v="22840002"/>
    <d v="2022-03-02T00:00:00"/>
    <n v="-107.4"/>
    <n v="-107.4"/>
    <s v="Recup. voordelen alle aard - wagen, Récup. avantages toute n"/>
    <n v="62020000"/>
    <s v="Bedienden bruto"/>
    <x v="27"/>
    <x v="6"/>
  </r>
  <r>
    <n v="84"/>
    <n v="22840002"/>
    <d v="2022-03-02T00:00:00"/>
    <n v="125"/>
    <n v="125"/>
    <s v="Kosten eigen aan werkgever bedienden, Frais propres à l'empl"/>
    <n v="62020000"/>
    <s v="Bedienden bruto"/>
    <x v="27"/>
    <x v="6"/>
  </r>
  <r>
    <n v="84"/>
    <n v="22840002"/>
    <d v="2022-03-02T00:00:00"/>
    <n v="100"/>
    <n v="100"/>
    <s v="Kosten eigen a/werkg. - reis/verbl. bed., Fr. propres à l'em"/>
    <n v="62020000"/>
    <s v="Bedienden bruto"/>
    <x v="27"/>
    <x v="6"/>
  </r>
  <r>
    <n v="84"/>
    <n v="22840004"/>
    <d v="2022-04-01T00:00:00"/>
    <n v="-141.66"/>
    <n v="-141.66"/>
    <s v="provisie april 2022"/>
    <n v="62020000"/>
    <s v="Bedienden bruto"/>
    <x v="27"/>
    <x v="6"/>
  </r>
  <r>
    <n v="84"/>
    <n v="22840004"/>
    <d v="2022-04-01T00:00:00"/>
    <n v="-118.9"/>
    <n v="-118.9"/>
    <s v="provisie april 2022"/>
    <n v="62020000"/>
    <s v="Bedienden bruto"/>
    <x v="27"/>
    <x v="6"/>
  </r>
  <r>
    <n v="84"/>
    <n v="22840004"/>
    <d v="2022-04-01T00:00:00"/>
    <n v="118.9"/>
    <n v="118.9"/>
    <s v="provisie april 2022"/>
    <n v="62020000"/>
    <s v="Bedienden bruto"/>
    <x v="27"/>
    <x v="6"/>
  </r>
  <r>
    <n v="84"/>
    <n v="22840004"/>
    <d v="2022-04-01T00:00:00"/>
    <n v="90"/>
    <n v="90"/>
    <s v="provisie april 2022"/>
    <n v="62020000"/>
    <s v="Bedienden bruto"/>
    <x v="27"/>
    <x v="6"/>
  </r>
  <r>
    <n v="84"/>
    <n v="22840004"/>
    <d v="2022-04-01T00:00:00"/>
    <n v="5352.46"/>
    <n v="5352.46"/>
    <s v="provisie april 2022"/>
    <n v="62020000"/>
    <s v="Bedienden bruto"/>
    <x v="27"/>
    <x v="6"/>
  </r>
  <r>
    <n v="84"/>
    <n v="22840004"/>
    <d v="2022-04-01T00:00:00"/>
    <n v="125"/>
    <n v="125"/>
    <s v="provisie april 2022"/>
    <n v="62020000"/>
    <s v="Bedienden bruto"/>
    <x v="27"/>
    <x v="6"/>
  </r>
  <r>
    <n v="84"/>
    <n v="22840003"/>
    <d v="2022-04-20T00:00:00"/>
    <n v="-118.9"/>
    <n v="-118.9"/>
    <s v="Recup. voordelen alle aard - wagen, Récup. avantages toute n"/>
    <n v="62020000"/>
    <s v="Bedienden bruto"/>
    <x v="27"/>
    <x v="6"/>
  </r>
  <r>
    <n v="84"/>
    <n v="22840003"/>
    <d v="2022-04-20T00:00:00"/>
    <n v="118.9"/>
    <n v="118.9"/>
    <s v="Verplaatsingsk. woonpl./werk bedienden, Frais dépl.domicile/"/>
    <n v="62020000"/>
    <s v="Bedienden bruto"/>
    <x v="27"/>
    <x v="6"/>
  </r>
  <r>
    <n v="84"/>
    <n v="22840003"/>
    <d v="2022-04-20T00:00:00"/>
    <n v="90"/>
    <n v="90"/>
    <s v="Kosten eigen a/werkg. - reis/verbl. bed., Fr. propres à l'em"/>
    <n v="62020000"/>
    <s v="Bedienden bruto"/>
    <x v="27"/>
    <x v="6"/>
  </r>
  <r>
    <n v="84"/>
    <n v="22840003"/>
    <d v="2022-04-20T00:00:00"/>
    <n v="125"/>
    <n v="125"/>
    <s v="Kosten eigen aan werkgever bedienden, Frais propres à l'empl"/>
    <n v="62020000"/>
    <s v="Bedienden bruto"/>
    <x v="27"/>
    <x v="6"/>
  </r>
  <r>
    <n v="84"/>
    <n v="22840003"/>
    <d v="2022-04-20T00:00:00"/>
    <n v="-141.66"/>
    <n v="-141.66"/>
    <s v="Persoonlijke bijdragen groepsverzekering, Cotisations person"/>
    <n v="62020000"/>
    <s v="Bedienden bruto"/>
    <x v="27"/>
    <x v="6"/>
  </r>
  <r>
    <n v="84"/>
    <n v="22840003"/>
    <d v="2022-04-20T00:00:00"/>
    <n v="5352.46"/>
    <n v="5352.46"/>
    <s v="Wedden bedienden, Salaires employés + 202203"/>
    <n v="62020000"/>
    <s v="Bedienden bruto"/>
    <x v="27"/>
    <x v="6"/>
  </r>
  <r>
    <n v="84"/>
    <n v="22840001"/>
    <d v="2022-02-02T00:00:00"/>
    <n v="49.03"/>
    <n v="49.03"/>
    <s v="Werkgeversbijdragen RSZ bedienden, Cotisations patronales ON"/>
    <n v="62111000"/>
    <s v="Werkgeversbijdragen"/>
    <x v="28"/>
    <x v="6"/>
  </r>
  <r>
    <n v="84"/>
    <n v="22840002"/>
    <d v="2022-03-02T00:00:00"/>
    <n v="44.75"/>
    <n v="44.75"/>
    <s v="Werkgeversbijdragen RSZ bedienden, Cotisations patronales ON"/>
    <n v="62111000"/>
    <s v="Werkgeversbijdragen"/>
    <x v="28"/>
    <x v="6"/>
  </r>
  <r>
    <n v="84"/>
    <n v="22840004"/>
    <d v="2022-04-01T00:00:00"/>
    <n v="61.27"/>
    <n v="61.27"/>
    <s v="provisie april 2022"/>
    <n v="62111000"/>
    <s v="Werkgeversbijdragen"/>
    <x v="28"/>
    <x v="6"/>
  </r>
  <r>
    <n v="84"/>
    <n v="22840003"/>
    <d v="2022-04-20T00:00:00"/>
    <n v="61.27"/>
    <n v="61.27"/>
    <s v="Werkgeversbijdragen RSZ bedienden, Cotisations patronales ON"/>
    <n v="62111000"/>
    <s v="Werkgeversbijdragen"/>
    <x v="28"/>
    <x v="6"/>
  </r>
  <r>
    <n v="10"/>
    <n v="22100065"/>
    <d v="2022-03-29T00:00:00"/>
    <n v="438.63"/>
    <n v="438.63"/>
    <s v="KBC-VERZEKERINGEN                   POL.53528959 VERVALD. PR"/>
    <n v="62115000"/>
    <s v="Groepsverzekering"/>
    <x v="29"/>
    <x v="6"/>
  </r>
  <r>
    <n v="10"/>
    <n v="22100088"/>
    <d v="2022-04-28T00:00:00"/>
    <n v="438.63"/>
    <n v="438.63"/>
    <s v="KBC-VERZEKERINGEN                   POL.53528959 VERVALD. PR"/>
    <n v="62115000"/>
    <s v="Groepsverzekering"/>
    <x v="29"/>
    <x v="6"/>
  </r>
  <r>
    <s v="CFAAN"/>
    <n v="20220010"/>
    <d v="2021-12-25T00:00:00"/>
    <n v="444.62"/>
    <n v="444.62"/>
    <m/>
    <n v="62300000"/>
    <s v="Verzekering"/>
    <x v="30"/>
    <x v="2"/>
  </r>
  <r>
    <n v="87"/>
    <n v="22870017"/>
    <d v="2022-01-01T00:00:00"/>
    <n v="218.5"/>
    <n v="218.5"/>
    <s v="Uitgesteld 20210266 polis maatschappel 01-01-2022-01-01-2022"/>
    <n v="62300000"/>
    <s v="Verzekering"/>
    <x v="30"/>
    <x v="2"/>
  </r>
  <r>
    <s v="CFAAN"/>
    <n v="20220012"/>
    <d v="2022-01-01T00:00:00"/>
    <n v="438.63"/>
    <n v="438.63"/>
    <d v="2022-01-01T00:00:00"/>
    <n v="62300000"/>
    <s v="Verzekering"/>
    <x v="30"/>
    <x v="6"/>
  </r>
  <r>
    <s v="CFAAN"/>
    <n v="20220024"/>
    <d v="2022-02-01T00:00:00"/>
    <n v="438.63"/>
    <n v="438.63"/>
    <m/>
    <n v="62300000"/>
    <s v="Verzekering"/>
    <x v="30"/>
    <x v="6"/>
  </r>
  <r>
    <s v="CFAAN"/>
    <n v="20220057"/>
    <d v="2022-03-17T00:00:00"/>
    <n v="301.75"/>
    <n v="301.75"/>
    <m/>
    <n v="62301000"/>
    <s v="Andere personeelskosten"/>
    <x v="31"/>
    <x v="6"/>
  </r>
  <r>
    <n v="84"/>
    <n v="22840001"/>
    <d v="2022-02-02T00:00:00"/>
    <n v="-21.8"/>
    <n v="-21.8"/>
    <s v="Persoonlijke bijdragen maaltijdcheques, Cotisations personne"/>
    <n v="62311000"/>
    <s v="Maaltijdcheques + eco cheques"/>
    <x v="32"/>
    <x v="6"/>
  </r>
  <r>
    <s v="CFAAN"/>
    <n v="20220028"/>
    <d v="2022-02-10T00:00:00"/>
    <n v="160"/>
    <n v="160"/>
    <s v="#20 x € 8,00"/>
    <n v="62311000"/>
    <s v="Maaltijdcheques + eco cheques"/>
    <x v="32"/>
    <x v="6"/>
  </r>
  <r>
    <n v="84"/>
    <n v="22840002"/>
    <d v="2022-03-02T00:00:00"/>
    <n v="-21.8"/>
    <n v="-21.8"/>
    <s v="Persoonlijke bijdragen maaltijdcheques, Cotisations personne"/>
    <n v="62311000"/>
    <s v="Maaltijdcheques + eco cheques"/>
    <x v="32"/>
    <x v="6"/>
  </r>
  <r>
    <n v="84"/>
    <n v="22840004"/>
    <d v="2022-04-01T00:00:00"/>
    <n v="-25.07"/>
    <n v="-25.07"/>
    <s v="provisie april 2022"/>
    <n v="62311000"/>
    <s v="Maaltijdcheques + eco cheques"/>
    <x v="32"/>
    <x v="6"/>
  </r>
  <r>
    <s v="CFAAN"/>
    <n v="20220084"/>
    <d v="2022-04-13T00:00:00"/>
    <n v="184"/>
    <n v="184"/>
    <m/>
    <n v="62311000"/>
    <s v="Maaltijdcheques + eco cheques"/>
    <x v="32"/>
    <x v="6"/>
  </r>
  <r>
    <s v="CFAAN"/>
    <n v="20220074"/>
    <d v="2022-04-13T00:00:00"/>
    <n v="184"/>
    <n v="184"/>
    <s v="#23 x â‚¬ 8,00"/>
    <n v="62311000"/>
    <s v="Maaltijdcheques + eco cheques"/>
    <x v="32"/>
    <x v="6"/>
  </r>
  <r>
    <n v="84"/>
    <n v="22840003"/>
    <d v="2022-04-20T00:00:00"/>
    <n v="-25.07"/>
    <n v="-25.07"/>
    <s v="Persoonlijke bijdragen maaltijdcheques, Cotisations personne"/>
    <n v="62311000"/>
    <s v="Maaltijdcheques + eco cheques"/>
    <x v="32"/>
    <x v="6"/>
  </r>
  <r>
    <s v="CFAAN"/>
    <n v="20220089"/>
    <d v="2022-04-28T00:00:00"/>
    <n v="160"/>
    <n v="160"/>
    <m/>
    <n v="62311000"/>
    <s v="Maaltijdcheques + eco cheques"/>
    <x v="32"/>
    <x v="6"/>
  </r>
  <r>
    <n v="88"/>
    <n v="22880002"/>
    <d v="2022-01-31T00:00:00"/>
    <n v="55.76"/>
    <n v="55.76"/>
    <s v="Afschrijving: 2022 - 1"/>
    <n v="63020000"/>
    <s v="Afschrijvingen gebouwen"/>
    <x v="33"/>
    <x v="2"/>
  </r>
  <r>
    <n v="88"/>
    <n v="22880004"/>
    <d v="2022-02-28T00:00:00"/>
    <n v="55.76"/>
    <n v="55.76"/>
    <s v="Afschrijving: 2022 - 2"/>
    <n v="63020000"/>
    <s v="Afschrijvingen gebouwen"/>
    <x v="33"/>
    <x v="2"/>
  </r>
  <r>
    <n v="88"/>
    <n v="22880006"/>
    <d v="2022-03-31T00:00:00"/>
    <n v="55.76"/>
    <n v="55.76"/>
    <s v="Afschrijving: 2022 - 3"/>
    <n v="63020000"/>
    <s v="Afschrijvingen gebouwen"/>
    <x v="33"/>
    <x v="2"/>
  </r>
  <r>
    <n v="88"/>
    <n v="22880008"/>
    <d v="2022-04-30T00:00:00"/>
    <n v="55.76"/>
    <n v="55.76"/>
    <s v="Afschrijving: 2022 - 4"/>
    <n v="63020000"/>
    <s v="Afschrijvingen gebouwen"/>
    <x v="33"/>
    <x v="2"/>
  </r>
  <r>
    <n v="88"/>
    <n v="22880001"/>
    <d v="2022-01-31T00:00:00"/>
    <n v="11.17"/>
    <n v="11.17"/>
    <s v="Afschrijving: 2022 - 1"/>
    <n v="63023000"/>
    <s v="Afschrijvingen installaties, machines en uitrusting"/>
    <x v="34"/>
    <x v="2"/>
  </r>
  <r>
    <n v="88"/>
    <n v="22880003"/>
    <d v="2022-02-28T00:00:00"/>
    <n v="11.17"/>
    <n v="11.17"/>
    <s v="Afschrijving: 2022 - 2"/>
    <n v="63023000"/>
    <s v="Afschrijvingen installaties, machines en uitrusting"/>
    <x v="34"/>
    <x v="2"/>
  </r>
  <r>
    <n v="88"/>
    <n v="22880005"/>
    <d v="2022-03-31T00:00:00"/>
    <n v="11.17"/>
    <n v="11.17"/>
    <s v="Afschrijving: 2022 - 3"/>
    <n v="63023000"/>
    <s v="Afschrijvingen installaties, machines en uitrusting"/>
    <x v="34"/>
    <x v="2"/>
  </r>
  <r>
    <n v="88"/>
    <n v="22880007"/>
    <d v="2022-04-30T00:00:00"/>
    <n v="11.17"/>
    <n v="11.17"/>
    <s v="Afschrijving: 2022 - 4"/>
    <n v="63023000"/>
    <s v="Afschrijvingen installaties, machines en uitrusting"/>
    <x v="34"/>
    <x v="2"/>
  </r>
  <r>
    <n v="10"/>
    <n v="22100005"/>
    <d v="2022-01-01T00:00:00"/>
    <n v="30"/>
    <n v="30"/>
    <s v="024 0010024172                                       01-01-2"/>
    <n v="65021000"/>
    <s v="Bankkosten"/>
    <x v="35"/>
    <x v="7"/>
  </r>
  <r>
    <n v="10"/>
    <n v="22100005"/>
    <d v="2022-01-01T00:00:00"/>
    <n v="30.84"/>
    <n v="30.84"/>
    <s v="Mededeling:  Rekeningnummer:  Verrichtingscode: (08009000) P"/>
    <n v="65021000"/>
    <s v="Bankkosten"/>
    <x v="35"/>
    <x v="7"/>
  </r>
  <r>
    <n v="12"/>
    <n v="22120001"/>
    <d v="2022-01-21T00:00:00"/>
    <n v="36.75"/>
    <n v="36.75"/>
    <s v="Mededeling:  Rekeningnummer:  Verrichtingscode: (33537000) K"/>
    <n v="65021000"/>
    <s v="Bankkosten"/>
    <x v="35"/>
    <x v="7"/>
  </r>
  <r>
    <n v="13"/>
    <n v="22130001"/>
    <d v="2022-02-01T00:00:00"/>
    <n v="17.3"/>
    <n v="17.3"/>
    <m/>
    <n v="65021000"/>
    <s v="Bankkosten"/>
    <x v="35"/>
    <x v="7"/>
  </r>
  <r>
    <n v="10"/>
    <n v="22100008"/>
    <d v="2022-01-12T00:00:00"/>
    <n v="-20"/>
    <n v="-20"/>
    <s v="VAN LEEUW JAN 19/1"/>
    <n v="70307000"/>
    <s v="Studiedag 1"/>
    <x v="36"/>
    <x v="4"/>
  </r>
  <r>
    <n v="10"/>
    <n v="22100009"/>
    <d v="2022-01-13T00:00:00"/>
    <n v="-20"/>
    <n v="-20"/>
    <s v="AE+ENGINEERING BV                   WEBINAR 19/01/2022 MARTI"/>
    <n v="70307000"/>
    <s v="Studiedag 1"/>
    <x v="36"/>
    <x v="4"/>
  </r>
  <r>
    <n v="10"/>
    <n v="22100009"/>
    <d v="2022-01-13T00:00:00"/>
    <n v="-20"/>
    <n v="-20"/>
    <s v="PROGROUP BELGIUM SRL                WEBINAR ATIC 19-01-2022+"/>
    <n v="70307000"/>
    <s v="Studiedag 1"/>
    <x v="36"/>
    <x v="4"/>
  </r>
  <r>
    <n v="10"/>
    <n v="22100009"/>
    <d v="2022-01-13T00:00:00"/>
    <n v="-5"/>
    <n v="-5"/>
    <s v="WEBINAR 19-01-2022 THYS JOSEPH"/>
    <n v="70307000"/>
    <s v="Studiedag 1"/>
    <x v="36"/>
    <x v="4"/>
  </r>
  <r>
    <n v="10"/>
    <n v="22100009"/>
    <d v="2022-01-13T00:00:00"/>
    <n v="-20"/>
    <n v="-20"/>
    <s v="TEENCONSULTING SRL                  DEBINAR ATIC 19-01-2022"/>
    <n v="70307000"/>
    <s v="Studiedag 1"/>
    <x v="36"/>
    <x v="4"/>
  </r>
  <r>
    <n v="10"/>
    <n v="22100010"/>
    <d v="2022-01-14T00:00:00"/>
    <n v="-30"/>
    <n v="-30"/>
    <s v="THYS JOSEPH                         WEBINAR ATIC COVID19"/>
    <n v="70307000"/>
    <s v="Studiedag 1"/>
    <x v="36"/>
    <x v="4"/>
  </r>
  <r>
    <n v="10"/>
    <n v="22100012"/>
    <d v="2022-01-17T00:00:00"/>
    <n v="-5"/>
    <n v="-5"/>
    <s v="BREES . CO                          WEBINAR 19-01-2022 - LUC"/>
    <n v="70307000"/>
    <s v="Studiedag 1"/>
    <x v="36"/>
    <x v="4"/>
  </r>
  <r>
    <n v="10"/>
    <n v="22100013"/>
    <d v="2022-01-18T00:00:00"/>
    <n v="-50"/>
    <n v="-50"/>
    <s v="IMTECH BELGIE                       WEBINAR ATIC COVID HUGO"/>
    <n v="70307000"/>
    <s v="Studiedag 1"/>
    <x v="36"/>
    <x v="4"/>
  </r>
  <r>
    <n v="10"/>
    <n v="22100013"/>
    <d v="2022-01-18T00:00:00"/>
    <n v="-30"/>
    <n v="-30"/>
    <s v="MAERTENS - CARRETTE                 VENTILATIE"/>
    <n v="70307000"/>
    <s v="Studiedag 1"/>
    <x v="36"/>
    <x v="4"/>
  </r>
  <r>
    <n v="10"/>
    <n v="22100013"/>
    <d v="2022-01-18T00:00:00"/>
    <n v="-50"/>
    <n v="-50"/>
    <s v="KG TEG COMM.V                       INSCHRIJVING LAST VAN CO"/>
    <n v="70307000"/>
    <s v="Studiedag 1"/>
    <x v="36"/>
    <x v="4"/>
  </r>
  <r>
    <n v="10"/>
    <n v="22100013"/>
    <d v="2022-01-18T00:00:00"/>
    <n v="-20"/>
    <n v="-20"/>
    <s v="KIEBACK &amp; PETER BELGIUM BV          WEBINAR 19 JANUARI 2022"/>
    <n v="70307000"/>
    <s v="Studiedag 1"/>
    <x v="36"/>
    <x v="4"/>
  </r>
  <r>
    <n v="10"/>
    <n v="22100013"/>
    <d v="2022-01-18T00:00:00"/>
    <n v="-50"/>
    <n v="-50"/>
    <s v="IMTECH BELGIE                       WEBINAR ATIC COVID BART"/>
    <n v="70307000"/>
    <s v="Studiedag 1"/>
    <x v="36"/>
    <x v="4"/>
  </r>
  <r>
    <n v="10"/>
    <n v="22100014"/>
    <d v="2022-01-19T00:00:00"/>
    <n v="-20"/>
    <n v="-20"/>
    <s v="LAURENT DE BRUYNE                   WEBINAR ATIC 19-01-2022/"/>
    <n v="70307000"/>
    <s v="Studiedag 1"/>
    <x v="36"/>
    <x v="4"/>
  </r>
  <r>
    <n v="10"/>
    <n v="22100014"/>
    <d v="2022-01-19T00:00:00"/>
    <n v="-50"/>
    <n v="-50"/>
    <s v="NV VANDEWALLE                       WEBINAR ATIC COVID 19 WI"/>
    <n v="70307000"/>
    <s v="Studiedag 1"/>
    <x v="36"/>
    <x v="4"/>
  </r>
  <r>
    <n v="10"/>
    <n v="22100014"/>
    <d v="2022-01-19T00:00:00"/>
    <n v="-20"/>
    <n v="-20"/>
    <s v="BABAR-NAJAM                         INSCRIPTION BABAR MAJID-"/>
    <n v="70307000"/>
    <s v="Studiedag 1"/>
    <x v="36"/>
    <x v="4"/>
  </r>
  <r>
    <n v="10"/>
    <n v="22100014"/>
    <d v="2022-01-19T00:00:00"/>
    <n v="-20"/>
    <n v="-20"/>
    <s v="PORTIER BJORN                       INSCHRIJVING BJORN PORTI"/>
    <n v="70307000"/>
    <s v="Studiedag 1"/>
    <x v="36"/>
    <x v="4"/>
  </r>
  <r>
    <n v="10"/>
    <n v="22100014"/>
    <d v="2022-01-19T00:00:00"/>
    <n v="-20"/>
    <n v="-20"/>
    <s v="DE PRIJCK SANDRA                    WEBINAR 19-01-2022 PHILI"/>
    <n v="70307000"/>
    <s v="Studiedag 1"/>
    <x v="36"/>
    <x v="4"/>
  </r>
  <r>
    <n v="10"/>
    <n v="22100015"/>
    <d v="2022-01-20T00:00:00"/>
    <n v="-20"/>
    <n v="-20"/>
    <s v="SANDER GABRIELLE                    PEB CHAUFFAGE"/>
    <n v="70307000"/>
    <s v="Studiedag 1"/>
    <x v="36"/>
    <x v="4"/>
  </r>
  <r>
    <n v="10"/>
    <n v="22100015"/>
    <d v="2022-01-20T00:00:00"/>
    <n v="-50"/>
    <n v="-50"/>
    <s v="REYNDERS CONSULT COMMV              WEBINARS VENTILATIE 27/1"/>
    <n v="70307000"/>
    <s v="Studiedag 1"/>
    <x v="36"/>
    <x v="4"/>
  </r>
  <r>
    <n v="10"/>
    <n v="22100015"/>
    <d v="2022-01-20T00:00:00"/>
    <n v="-50"/>
    <n v="-50"/>
    <s v="VAN LEEUW JAN                       CORONA"/>
    <n v="70307000"/>
    <s v="Studiedag 1"/>
    <x v="36"/>
    <x v="4"/>
  </r>
  <r>
    <n v="10"/>
    <n v="22100016"/>
    <d v="2022-01-21T00:00:00"/>
    <n v="-50"/>
    <n v="-50"/>
    <s v="HUBERT JORENS                       WEBINAR ATIC COVID 19 SA"/>
    <n v="70307000"/>
    <s v="Studiedag 1"/>
    <x v="36"/>
    <x v="4"/>
  </r>
  <r>
    <n v="10"/>
    <n v="22100016"/>
    <d v="2022-01-21T00:00:00"/>
    <n v="-30"/>
    <n v="-30"/>
    <s v="NOUWYNCK JEAN                       WEBINAR COVID 19"/>
    <n v="70307000"/>
    <s v="Studiedag 1"/>
    <x v="36"/>
    <x v="4"/>
  </r>
  <r>
    <n v="10"/>
    <n v="22100018"/>
    <d v="2022-01-24T00:00:00"/>
    <n v="-50"/>
    <n v="-50"/>
    <s v="WEBINAR ATIC JANVIER FEVRIER 22 FRANCKX CARL"/>
    <n v="70307000"/>
    <s v="Studiedag 1"/>
    <x v="36"/>
    <x v="4"/>
  </r>
  <r>
    <n v="10"/>
    <n v="22100019"/>
    <d v="2022-01-25T00:00:00"/>
    <n v="-50"/>
    <n v="-50"/>
    <s v="STUDIEBUREAU VIAENE BV              WEBINAR : VENTILATIE IN"/>
    <n v="70307000"/>
    <s v="Studiedag 1"/>
    <x v="36"/>
    <x v="4"/>
  </r>
  <r>
    <n v="10"/>
    <n v="22100019"/>
    <d v="2022-01-25T00:00:00"/>
    <n v="-50"/>
    <n v="-50"/>
    <s v="ISTEMA NV                           WEBINAR LAST VAN COVID"/>
    <n v="70307000"/>
    <s v="Studiedag 1"/>
    <x v="36"/>
    <x v="4"/>
  </r>
  <r>
    <n v="10"/>
    <n v="22100019"/>
    <d v="2022-01-25T00:00:00"/>
    <n v="-50"/>
    <n v="-50"/>
    <s v="CLIMAVENT BV                        WEBINAR ATIC COVID 19 -T"/>
    <n v="70307000"/>
    <s v="Studiedag 1"/>
    <x v="36"/>
    <x v="4"/>
  </r>
  <r>
    <n v="10"/>
    <n v="22100020"/>
    <d v="2022-01-26T00:00:00"/>
    <n v="-50"/>
    <n v="-50"/>
    <s v="DE STRYCKER MAARTEN                 WEBINAR ATIC COVID DE ST"/>
    <n v="70307000"/>
    <s v="Studiedag 1"/>
    <x v="36"/>
    <x v="4"/>
  </r>
  <r>
    <n v="10"/>
    <n v="22100020"/>
    <d v="2022-01-26T00:00:00"/>
    <n v="-100"/>
    <n v="-100"/>
    <s v="SA DE VENTE TRANE                   WEBINAR ATIC COVID 19 +"/>
    <n v="70307000"/>
    <s v="Studiedag 1"/>
    <x v="36"/>
    <x v="4"/>
  </r>
  <r>
    <n v="10"/>
    <n v="22100021"/>
    <d v="2022-01-27T00:00:00"/>
    <n v="-50"/>
    <n v="-50"/>
    <s v="THOMAS   PIRON HAUS                   WEBINAR ATIC COVID JAN"/>
    <n v="70307000"/>
    <s v="Studiedag 1"/>
    <x v="36"/>
    <x v="4"/>
  </r>
  <r>
    <n v="10"/>
    <n v="22100022"/>
    <d v="2022-02-01T00:00:00"/>
    <n v="-1260"/>
    <n v="-1260"/>
    <s v="STG MOLLIE PAYMENTS                 REF T09617121.2202.01"/>
    <n v="70307000"/>
    <s v="Studiedag 1"/>
    <x v="36"/>
    <x v="4"/>
  </r>
  <r>
    <n v="10"/>
    <n v="22100030"/>
    <d v="2022-02-11T00:00:00"/>
    <n v="-50"/>
    <n v="-50"/>
    <s v="CENTRE SCIENTIFIQUE ET TEC          WEBINAR ATIC COVID JANV"/>
    <n v="70307000"/>
    <s v="Studiedag 1"/>
    <x v="36"/>
    <x v="4"/>
  </r>
  <r>
    <n v="10"/>
    <n v="22100030"/>
    <d v="2022-02-11T00:00:00"/>
    <n v="-5"/>
    <n v="-5"/>
    <s v="THYS JOSEPH                         WEBINAR 24-02-2022"/>
    <n v="70307000"/>
    <s v="Studiedag 1"/>
    <x v="36"/>
    <x v="4"/>
  </r>
  <r>
    <n v="10"/>
    <n v="22100030"/>
    <d v="2022-02-11T00:00:00"/>
    <n v="-50"/>
    <n v="-50"/>
    <s v="CENTRE SCIENTIFIQUE ET TEC          WEBINAR ATIC COVID JANVI"/>
    <n v="70307000"/>
    <s v="Studiedag 1"/>
    <x v="36"/>
    <x v="4"/>
  </r>
  <r>
    <n v="10"/>
    <n v="22100032"/>
    <d v="2022-02-14T00:00:00"/>
    <n v="-5"/>
    <n v="-5"/>
    <s v="BREES . CO                          WEBINAR ATIC 24/2/2022 -"/>
    <n v="70307000"/>
    <s v="Studiedag 1"/>
    <x v="36"/>
    <x v="4"/>
  </r>
  <r>
    <n v="10"/>
    <n v="22100032"/>
    <d v="2022-02-14T00:00:00"/>
    <n v="-5"/>
    <n v="-5"/>
    <s v="MAERTENS - CARRETTE                 CORROSIE"/>
    <n v="70307000"/>
    <s v="Studiedag 1"/>
    <x v="36"/>
    <x v="4"/>
  </r>
  <r>
    <n v="10"/>
    <n v="22100033"/>
    <d v="2022-02-15T00:00:00"/>
    <n v="-30"/>
    <n v="-30"/>
    <s v="IMTECH BELGIUM NV                   WEBINAR TV 278 ATIC FEBR"/>
    <n v="70307000"/>
    <s v="Studiedag 1"/>
    <x v="36"/>
    <x v="4"/>
  </r>
  <r>
    <n v="10"/>
    <n v="22100036"/>
    <d v="2022-02-18T00:00:00"/>
    <n v="-30"/>
    <n v="-30"/>
    <s v="M.G GROUP BELGIUM SA                WEBINAR TV 278 ATIC FEBR"/>
    <n v="70307000"/>
    <s v="Studiedag 1"/>
    <x v="36"/>
    <x v="4"/>
  </r>
  <r>
    <n v="10"/>
    <n v="22100038"/>
    <d v="2022-02-22T00:00:00"/>
    <n v="-5"/>
    <n v="-5"/>
    <s v="VAN DE BERCK MANU                   WEBINAR TV 278 ATIC FEBR"/>
    <n v="70307000"/>
    <s v="Studiedag 1"/>
    <x v="36"/>
    <x v="4"/>
  </r>
  <r>
    <n v="10"/>
    <n v="22100039"/>
    <d v="2022-02-23T00:00:00"/>
    <n v="-30"/>
    <n v="-30"/>
    <s v="PR2 ARCHITECTEN VOF                 WEBINAR TV 278 ATIC FEBR"/>
    <n v="70307000"/>
    <s v="Studiedag 1"/>
    <x v="36"/>
    <x v="4"/>
  </r>
  <r>
    <n v="10"/>
    <n v="22100039"/>
    <d v="2022-02-23T00:00:00"/>
    <n v="-5"/>
    <n v="-5"/>
    <s v="JACOBS RENE                         WEBMINAAR 24 2 2022"/>
    <n v="70307000"/>
    <s v="Studiedag 1"/>
    <x v="36"/>
    <x v="4"/>
  </r>
  <r>
    <n v="10"/>
    <n v="22100040"/>
    <d v="2022-02-24T00:00:00"/>
    <n v="-5"/>
    <n v="-5"/>
    <s v="WILLY BEDDELEEM                     WEBINAR 24.02 - CORROSIE"/>
    <n v="70307000"/>
    <s v="Studiedag 1"/>
    <x v="36"/>
    <x v="4"/>
  </r>
  <r>
    <n v="10"/>
    <n v="22100042"/>
    <d v="2022-03-01T00:00:00"/>
    <n v="-260"/>
    <n v="-260"/>
    <s v="STG MOLLIE PAYMENTS                 REF T09617121.2203.01"/>
    <n v="70307000"/>
    <s v="Studiedag 1"/>
    <x v="36"/>
    <x v="4"/>
  </r>
  <r>
    <n v="10"/>
    <n v="22100042"/>
    <d v="2022-03-01T00:00:00"/>
    <n v="-50"/>
    <n v="-50"/>
    <s v="ARCADIS BELGIUM NV                  2022003"/>
    <n v="70307000"/>
    <s v="Studiedag 1"/>
    <x v="36"/>
    <x v="4"/>
  </r>
  <r>
    <n v="10"/>
    <n v="22100048"/>
    <d v="2022-03-08T00:00:00"/>
    <n v="-25"/>
    <n v="-25"/>
    <s v="TUSSET-DABEE                        FACTURE 2022046"/>
    <n v="70307000"/>
    <s v="Studiedag 1"/>
    <x v="36"/>
    <x v="4"/>
  </r>
  <r>
    <n v="10"/>
    <n v="22100061"/>
    <d v="2022-03-23T00:00:00"/>
    <n v="-5"/>
    <n v="-5"/>
    <s v="ALAIN VANDENHOUTEN                  WEBINAR 27/04/22"/>
    <n v="70307000"/>
    <s v="Studiedag 1"/>
    <x v="36"/>
    <x v="4"/>
  </r>
  <r>
    <n v="10"/>
    <n v="22100061"/>
    <d v="2022-03-23T00:00:00"/>
    <n v="-25"/>
    <n v="-25"/>
    <s v="REYNDERS CONSULT COMMV              WEBINAR 27/4"/>
    <n v="70307000"/>
    <s v="Studiedag 1"/>
    <x v="36"/>
    <x v="4"/>
  </r>
  <r>
    <n v="10"/>
    <n v="22100062"/>
    <d v="2022-03-24T00:00:00"/>
    <n v="-25"/>
    <n v="-25"/>
    <s v="PORTIER BJORN                       DEELNAME WEBINAR WATERST"/>
    <n v="70307000"/>
    <s v="Studiedag 1"/>
    <x v="36"/>
    <x v="4"/>
  </r>
  <r>
    <n v="10"/>
    <n v="22100062"/>
    <d v="2022-03-24T00:00:00"/>
    <n v="-5"/>
    <n v="-5"/>
    <s v="THYS JOSEPH                         WEBINAR ISABEL FRANCOIS"/>
    <n v="70307000"/>
    <s v="Studiedag 1"/>
    <x v="36"/>
    <x v="4"/>
  </r>
  <r>
    <n v="10"/>
    <n v="22100063"/>
    <d v="2022-03-25T00:00:00"/>
    <n v="-5"/>
    <n v="-5"/>
    <s v="GODARD DOURET                       WEBINAR ISABEL FRANCOIS"/>
    <n v="70307000"/>
    <s v="Studiedag 1"/>
    <x v="36"/>
    <x v="4"/>
  </r>
  <r>
    <n v="10"/>
    <n v="22100065"/>
    <d v="2022-03-29T00:00:00"/>
    <n v="-25"/>
    <n v="-25"/>
    <s v="VIESSMANN-BELGIUM BVBA              WEBINAR ISABEL FRANCOIS"/>
    <n v="70307000"/>
    <s v="Studiedag 1"/>
    <x v="36"/>
    <x v="4"/>
  </r>
  <r>
    <n v="10"/>
    <n v="22100066"/>
    <d v="2022-03-30T00:00:00"/>
    <n v="-25"/>
    <n v="-25"/>
    <s v="IMTECH BELGIUM NV                   WEBINAR APRIL-RAF GUBBEL"/>
    <n v="70307000"/>
    <s v="Studiedag 1"/>
    <x v="36"/>
    <x v="4"/>
  </r>
  <r>
    <n v="10"/>
    <n v="22100066"/>
    <d v="2022-03-30T00:00:00"/>
    <n v="-25"/>
    <n v="-25"/>
    <s v="HOPTIMIZE SRL                       WEBINAR ISABEL FRANCOIS"/>
    <n v="70307000"/>
    <s v="Studiedag 1"/>
    <x v="36"/>
    <x v="4"/>
  </r>
  <r>
    <n v="10"/>
    <n v="22100066"/>
    <d v="2022-03-30T00:00:00"/>
    <n v="-25"/>
    <n v="-25"/>
    <s v="IMTECH BELGIUM NV                   WEBINAR-WATERSTOF-OPPORT"/>
    <n v="70307000"/>
    <s v="Studiedag 1"/>
    <x v="36"/>
    <x v="4"/>
  </r>
  <r>
    <n v="10"/>
    <n v="22100067"/>
    <d v="2022-03-31T00:00:00"/>
    <n v="-25"/>
    <n v="-25"/>
    <s v="R. VAESEN BV                        WEBINAR ISABEL FRANCOIS"/>
    <n v="70307000"/>
    <s v="Studiedag 1"/>
    <x v="36"/>
    <x v="4"/>
  </r>
  <r>
    <n v="10"/>
    <n v="22100068"/>
    <d v="2022-04-01T00:00:00"/>
    <n v="-100"/>
    <n v="-100"/>
    <s v="STG MOLLIE PAYMENTS                 REF T09617121.2204.01"/>
    <n v="70307000"/>
    <s v="Studiedag 1"/>
    <x v="36"/>
    <x v="4"/>
  </r>
  <r>
    <n v="10"/>
    <n v="22100072"/>
    <d v="2022-04-07T00:00:00"/>
    <n v="-75"/>
    <n v="-75"/>
    <s v="EMIEL BV                            F2022069 - EMIEL DENIES"/>
    <n v="70307000"/>
    <s v="Studiedag 1"/>
    <x v="36"/>
    <x v="4"/>
  </r>
  <r>
    <n v="10"/>
    <n v="22100073"/>
    <d v="2022-04-08T00:00:00"/>
    <n v="-75"/>
    <n v="-75"/>
    <s v="TRACTEBEL ENGINEERING SA            WEB. LIEFOOGHE//WEB. VAN"/>
    <n v="70307000"/>
    <s v="Studiedag 1"/>
    <x v="36"/>
    <x v="4"/>
  </r>
  <r>
    <n v="10"/>
    <n v="22100073"/>
    <d v="2022-04-08T00:00:00"/>
    <n v="-25"/>
    <n v="-25"/>
    <s v="WEISHAUPT NV                        WEBINAR 27-04 BRUNO DEWI"/>
    <n v="70307000"/>
    <s v="Studiedag 1"/>
    <x v="36"/>
    <x v="4"/>
  </r>
  <r>
    <n v="10"/>
    <n v="22100075"/>
    <d v="2022-04-10T00:00:00"/>
    <n v="-5"/>
    <n v="-5"/>
    <s v="CONSULTING CB COMMV                 WEBINAR WATERSTOF 27-04-"/>
    <n v="70307000"/>
    <s v="Studiedag 1"/>
    <x v="36"/>
    <x v="4"/>
  </r>
  <r>
    <n v="10"/>
    <n v="22100077"/>
    <d v="2022-04-12T00:00:00"/>
    <n v="-25"/>
    <n v="-25"/>
    <s v="PRASMAN ELISABETH                   WEBINAR ISABEL FRANCOIS"/>
    <n v="70307000"/>
    <s v="Studiedag 1"/>
    <x v="36"/>
    <x v="4"/>
  </r>
  <r>
    <n v="10"/>
    <n v="22100079"/>
    <d v="2022-04-14T00:00:00"/>
    <n v="-25"/>
    <n v="-25"/>
    <s v="AE+ENGINEERING BV                   'WEBINAR ISABEL FRANCOIS"/>
    <n v="70307000"/>
    <s v="Studiedag 1"/>
    <x v="36"/>
    <x v="4"/>
  </r>
  <r>
    <n v="10"/>
    <n v="22100080"/>
    <d v="2022-04-19T00:00:00"/>
    <n v="-5"/>
    <n v="-5"/>
    <s v="MAERTENS - CARRETTE                 WEBINAR WATERSTOF"/>
    <n v="70307000"/>
    <s v="Studiedag 1"/>
    <x v="36"/>
    <x v="4"/>
  </r>
  <r>
    <n v="10"/>
    <n v="22100080"/>
    <d v="2022-04-19T00:00:00"/>
    <n v="-25"/>
    <n v="-25"/>
    <s v="VIESSMANN-BELGIUM BVBA              WEBINAR ISABEL FRANCOIS"/>
    <n v="70307000"/>
    <s v="Studiedag 1"/>
    <x v="36"/>
    <x v="4"/>
  </r>
  <r>
    <n v="10"/>
    <n v="22100083"/>
    <d v="2022-04-22T00:00:00"/>
    <n v="-25"/>
    <n v="-25"/>
    <s v="VIESSMANN-BELGIUM BVBA              WEBINAR WATERSTOF 27/04"/>
    <n v="70307000"/>
    <s v="Studiedag 1"/>
    <x v="36"/>
    <x v="4"/>
  </r>
  <r>
    <n v="10"/>
    <n v="22100086"/>
    <d v="2022-04-26T00:00:00"/>
    <n v="-25"/>
    <n v="-25"/>
    <s v="BREHAIN DAVID                       WEBINAIRE HYDROGENE ATIC"/>
    <n v="70307000"/>
    <s v="Studiedag 1"/>
    <x v="36"/>
    <x v="4"/>
  </r>
  <r>
    <n v="10"/>
    <n v="22100086"/>
    <d v="2022-04-26T00:00:00"/>
    <n v="-5"/>
    <n v="-5"/>
    <s v="MARBAIX - LOY                       WEBINAR ISABEL FRANCOIS"/>
    <n v="70307000"/>
    <s v="Studiedag 1"/>
    <x v="36"/>
    <x v="4"/>
  </r>
  <r>
    <n v="10"/>
    <n v="22100086"/>
    <d v="2022-04-26T00:00:00"/>
    <n v="-25"/>
    <n v="-25"/>
    <s v="MRS THAIS ARAUJO LOPES              WEBINAR APRIL 2022 GYBEL"/>
    <n v="70307000"/>
    <s v="Studiedag 1"/>
    <x v="36"/>
    <x v="4"/>
  </r>
  <r>
    <n v="10"/>
    <n v="22100086"/>
    <d v="2022-04-26T00:00:00"/>
    <n v="-25"/>
    <n v="-25"/>
    <s v="CONCEPT CONTROL SA                  WEBINAR 27/04/2022 - HYD"/>
    <n v="70307000"/>
    <s v="Studiedag 1"/>
    <x v="36"/>
    <x v="4"/>
  </r>
  <r>
    <n v="10"/>
    <n v="22100086"/>
    <d v="2022-04-26T00:00:00"/>
    <n v="-25"/>
    <n v="-25"/>
    <s v="DE BEUKELAER JEAN                   WEBINAR APRIL 2022"/>
    <n v="70307000"/>
    <s v="Studiedag 1"/>
    <x v="36"/>
    <x v="4"/>
  </r>
  <r>
    <n v="10"/>
    <n v="22100086"/>
    <d v="2022-04-26T00:00:00"/>
    <n v="-25"/>
    <n v="-25"/>
    <s v="DEEN ERIK                           ERIK DEEN H2 WEBINAR"/>
    <n v="70307000"/>
    <s v="Studiedag 1"/>
    <x v="36"/>
    <x v="4"/>
  </r>
  <r>
    <n v="10"/>
    <n v="22100087"/>
    <d v="2022-04-27T00:00:00"/>
    <n v="-25"/>
    <n v="-25"/>
    <s v="VANPOUCKE YVES                      WATERSTOF WEBINAR 27/4 -"/>
    <n v="70307000"/>
    <s v="Studiedag 1"/>
    <x v="36"/>
    <x v="4"/>
  </r>
  <r>
    <n v="10"/>
    <n v="22100087"/>
    <d v="2022-04-27T00:00:00"/>
    <n v="-25"/>
    <n v="-25"/>
    <s v="STUDIEBUREAU VIAENE BV              WEBINAR : WATERSTOF : OP"/>
    <n v="70307000"/>
    <s v="Studiedag 1"/>
    <x v="36"/>
    <x v="4"/>
  </r>
  <r>
    <n v="10"/>
    <n v="22100087"/>
    <d v="2022-04-27T00:00:00"/>
    <n v="-25"/>
    <n v="-25"/>
    <s v="SWECO BELGIUM BV                    WEBINAR 27/04-WATERSTOF"/>
    <n v="70307000"/>
    <s v="Studiedag 1"/>
    <x v="36"/>
    <x v="4"/>
  </r>
  <r>
    <n v="10"/>
    <n v="22100024"/>
    <d v="2022-02-04T00:00:00"/>
    <n v="-79"/>
    <n v="-79"/>
    <s v="DABESTAN GHOLAM                     FACTURE N 2022011"/>
    <n v="70510000"/>
    <s v="Bijdragen individuele leden"/>
    <x v="37"/>
    <x v="2"/>
  </r>
  <r>
    <n v="10"/>
    <n v="22100034"/>
    <d v="2022-02-16T00:00:00"/>
    <n v="-79"/>
    <n v="-79"/>
    <s v="ATELIER T,INGENIEURS EN             INDIVIDUELE ATIC-LIDMAAT"/>
    <n v="70510000"/>
    <s v="Bijdragen individuele leden"/>
    <x v="37"/>
    <x v="2"/>
  </r>
  <r>
    <n v="10"/>
    <n v="22100044"/>
    <d v="2022-03-03T00:00:00"/>
    <n v="-25"/>
    <n v="-25"/>
    <s v="CONSULTING CB COMMV                 FACTUUR 2022026"/>
    <n v="70510000"/>
    <s v="Bijdragen individuele leden"/>
    <x v="37"/>
    <x v="2"/>
  </r>
  <r>
    <n v="10"/>
    <n v="22100046"/>
    <d v="2022-03-05T00:00:00"/>
    <n v="-25"/>
    <n v="-25"/>
    <s v="DE HOE JEAN                         COTISATION ATIC 2022  -"/>
    <n v="70510000"/>
    <s v="Bijdragen individuele leden"/>
    <x v="37"/>
    <x v="2"/>
  </r>
  <r>
    <n v="10"/>
    <n v="22100046"/>
    <d v="2022-03-05T00:00:00"/>
    <n v="-25"/>
    <n v="-25"/>
    <s v="FABRI-ROGGEMAN                      LIDGELD 2022"/>
    <n v="70510000"/>
    <s v="Bijdragen individuele leden"/>
    <x v="37"/>
    <x v="2"/>
  </r>
  <r>
    <n v="10"/>
    <n v="22100047"/>
    <d v="2022-03-07T00:00:00"/>
    <n v="-79"/>
    <n v="-79"/>
    <s v="OUTREMER CIP                        2022077"/>
    <n v="70510000"/>
    <s v="Bijdragen individuele leden"/>
    <x v="37"/>
    <x v="2"/>
  </r>
  <r>
    <n v="10"/>
    <n v="22100047"/>
    <d v="2022-03-07T00:00:00"/>
    <n v="-79"/>
    <n v="-79"/>
    <s v="J. RANSBOTYN ET CO SPRL             2022085"/>
    <n v="70510000"/>
    <s v="Bijdragen individuele leden"/>
    <x v="37"/>
    <x v="2"/>
  </r>
  <r>
    <n v="10"/>
    <n v="22100047"/>
    <d v="2022-03-07T00:00:00"/>
    <n v="-25"/>
    <n v="-25"/>
    <s v="M+MME VANDECRUYS - BOETS            FACTUUR   2022047    VAN"/>
    <n v="70510000"/>
    <s v="Bijdragen individuele leden"/>
    <x v="37"/>
    <x v="2"/>
  </r>
  <r>
    <n v="10"/>
    <n v="22100047"/>
    <d v="2022-03-07T00:00:00"/>
    <n v="-25"/>
    <n v="-25"/>
    <s v="HCO.ENERGY                          COTISATION 2022 - FACTUR"/>
    <n v="70510000"/>
    <s v="Bijdragen individuele leden"/>
    <x v="37"/>
    <x v="2"/>
  </r>
  <r>
    <n v="10"/>
    <n v="22100047"/>
    <d v="2022-03-07T00:00:00"/>
    <n v="-79"/>
    <n v="-79"/>
    <s v="VDB CONTROLS BV                     FACTUUR 2022023"/>
    <n v="70510000"/>
    <s v="Bijdragen individuele leden"/>
    <x v="37"/>
    <x v="2"/>
  </r>
  <r>
    <n v="10"/>
    <n v="22100047"/>
    <d v="2022-03-07T00:00:00"/>
    <n v="-79"/>
    <n v="-79"/>
    <s v="STADSBESTUUR GENT                   2022019 79,00 /"/>
    <n v="70510000"/>
    <s v="Bijdragen individuele leden"/>
    <x v="37"/>
    <x v="2"/>
  </r>
  <r>
    <n v="10"/>
    <n v="22100047"/>
    <d v="2022-03-07T00:00:00"/>
    <n v="-25"/>
    <n v="-25"/>
    <s v="M ANDRE SONON                       COTISATION 2022"/>
    <n v="70510000"/>
    <s v="Bijdragen individuele leden"/>
    <x v="37"/>
    <x v="2"/>
  </r>
  <r>
    <n v="10"/>
    <n v="22100048"/>
    <d v="2022-03-08T00:00:00"/>
    <n v="-25"/>
    <n v="-25"/>
    <s v="JACOBS RENE                         COTISATION 2022"/>
    <n v="70510000"/>
    <s v="Bijdragen individuele leden"/>
    <x v="37"/>
    <x v="2"/>
  </r>
  <r>
    <n v="10"/>
    <n v="22100048"/>
    <d v="2022-03-08T00:00:00"/>
    <n v="-25"/>
    <n v="-25"/>
    <s v="CONSULTHERM SRL                     COTISATION 2022 - J. ROM"/>
    <n v="70510000"/>
    <s v="Bijdragen individuele leden"/>
    <x v="37"/>
    <x v="2"/>
  </r>
  <r>
    <n v="10"/>
    <n v="22100048"/>
    <d v="2022-03-08T00:00:00"/>
    <n v="-79"/>
    <n v="-79"/>
    <s v="OMER DELOOF NV                      FACTUUR 2022064"/>
    <n v="70510000"/>
    <s v="Bijdragen individuele leden"/>
    <x v="37"/>
    <x v="2"/>
  </r>
  <r>
    <n v="10"/>
    <n v="22100049"/>
    <d v="2022-03-09T00:00:00"/>
    <n v="-25"/>
    <n v="-25"/>
    <s v="PONCELET-VERACHTERT                 FACTUUR 2022042"/>
    <n v="70510000"/>
    <s v="Bijdragen individuele leden"/>
    <x v="37"/>
    <x v="2"/>
  </r>
  <r>
    <n v="10"/>
    <n v="22100049"/>
    <d v="2022-03-09T00:00:00"/>
    <n v="-25"/>
    <n v="-25"/>
    <s v="SANISTORMS BV                       COTISATION MENBRE ATIC 2"/>
    <n v="70510000"/>
    <s v="Bijdragen individuele leden"/>
    <x v="37"/>
    <x v="2"/>
  </r>
  <r>
    <n v="10"/>
    <n v="22100049"/>
    <d v="2022-03-09T00:00:00"/>
    <n v="-25"/>
    <n v="-25"/>
    <s v="CDB CONSULT SNC                     COTISATION ATIC CDB 2022"/>
    <n v="70510000"/>
    <s v="Bijdragen individuele leden"/>
    <x v="37"/>
    <x v="2"/>
  </r>
  <r>
    <n v="10"/>
    <n v="22100049"/>
    <d v="2022-03-09T00:00:00"/>
    <n v="-25"/>
    <n v="-25"/>
    <s v="BREES . CO                          LIDMAATSCHAPSBIJDRAGE -"/>
    <n v="70510000"/>
    <s v="Bijdragen individuele leden"/>
    <x v="37"/>
    <x v="2"/>
  </r>
  <r>
    <n v="10"/>
    <n v="22100050"/>
    <d v="2022-03-10T00:00:00"/>
    <n v="-25"/>
    <n v="-25"/>
    <s v="WILLY BEDDELEEM                     LIDGELD 2022 - GEPENSION"/>
    <n v="70510000"/>
    <s v="Bijdragen individuele leden"/>
    <x v="37"/>
    <x v="2"/>
  </r>
  <r>
    <n v="10"/>
    <n v="22100050"/>
    <d v="2022-03-10T00:00:00"/>
    <n v="-79"/>
    <n v="-79"/>
    <s v="BREHAIN DAVID                       COTISATION D BREHAIN"/>
    <n v="70510000"/>
    <s v="Bijdragen individuele leden"/>
    <x v="37"/>
    <x v="2"/>
  </r>
  <r>
    <n v="10"/>
    <n v="22100050"/>
    <d v="2022-03-10T00:00:00"/>
    <n v="-25"/>
    <n v="-25"/>
    <s v="MAERTENS - CARRETTE                 FACTUUR N. 20222038"/>
    <n v="70510000"/>
    <s v="Bijdragen individuele leden"/>
    <x v="37"/>
    <x v="2"/>
  </r>
  <r>
    <n v="10"/>
    <n v="22100050"/>
    <d v="2022-03-10T00:00:00"/>
    <n v="-79"/>
    <n v="-79"/>
    <s v="DANZE CHALEUR ET CONFORT SPRL       COTISATION 2022 DANZE"/>
    <n v="70510000"/>
    <s v="Bijdragen individuele leden"/>
    <x v="37"/>
    <x v="2"/>
  </r>
  <r>
    <n v="10"/>
    <n v="22100051"/>
    <d v="2022-03-11T00:00:00"/>
    <n v="-79"/>
    <n v="-79"/>
    <s v="BROUAE ARCHITECTURE                 COTISATION MEMBRE GEROME"/>
    <n v="70510000"/>
    <s v="Bijdragen individuele leden"/>
    <x v="37"/>
    <x v="2"/>
  </r>
  <r>
    <n v="10"/>
    <n v="22100051"/>
    <d v="2022-03-11T00:00:00"/>
    <n v="-79"/>
    <n v="-79"/>
    <s v="HENKENS FRERES SA                   2022089"/>
    <n v="70510000"/>
    <s v="Bijdragen individuele leden"/>
    <x v="37"/>
    <x v="2"/>
  </r>
  <r>
    <n v="10"/>
    <n v="22100051"/>
    <d v="2022-03-11T00:00:00"/>
    <n v="-79"/>
    <n v="-79"/>
    <s v="FERNANDEZ GARCIA MARCELLIN          FERNANDEZ MARCELINO"/>
    <n v="70510000"/>
    <s v="Bijdragen individuele leden"/>
    <x v="37"/>
    <x v="2"/>
  </r>
  <r>
    <n v="10"/>
    <n v="22100052"/>
    <d v="2022-03-14T00:00:00"/>
    <n v="-25"/>
    <n v="-25"/>
    <s v="LIMPENS DOMINIQUE                   COTISATION 2022"/>
    <n v="70510000"/>
    <s v="Bijdragen individuele leden"/>
    <x v="37"/>
    <x v="2"/>
  </r>
  <r>
    <n v="10"/>
    <n v="22100052"/>
    <d v="2022-03-14T00:00:00"/>
    <n v="-79"/>
    <n v="-79"/>
    <s v="POITOUX - FOUYON                    FACTURE 2022084 - COTISA"/>
    <n v="70510000"/>
    <s v="Bijdragen individuele leden"/>
    <x v="37"/>
    <x v="2"/>
  </r>
  <r>
    <n v="10"/>
    <n v="22100052"/>
    <d v="2022-03-14T00:00:00"/>
    <n v="-79"/>
    <n v="-79"/>
    <s v="MASY GABRIELLE                      COTISATION 2022 - GABRIE"/>
    <n v="70510000"/>
    <s v="Bijdragen individuele leden"/>
    <x v="37"/>
    <x v="2"/>
  </r>
  <r>
    <n v="10"/>
    <n v="22100052"/>
    <d v="2022-03-14T00:00:00"/>
    <n v="-79"/>
    <n v="-79"/>
    <s v="D.V INGENIEURS                      FACTUUR NR 2022093"/>
    <n v="70510000"/>
    <s v="Bijdragen individuele leden"/>
    <x v="37"/>
    <x v="2"/>
  </r>
  <r>
    <n v="10"/>
    <n v="22100053"/>
    <d v="2022-03-15T00:00:00"/>
    <n v="-79"/>
    <n v="-79"/>
    <s v="T R I - CAM BV                      FACTUUR 2022060 - ANDY C"/>
    <n v="70510000"/>
    <s v="Bijdragen individuele leden"/>
    <x v="37"/>
    <x v="2"/>
  </r>
  <r>
    <n v="10"/>
    <n v="22100053"/>
    <d v="2022-03-15T00:00:00"/>
    <n v="-25"/>
    <n v="-25"/>
    <s v="FACT 2022049 LIDGELD 2022 VAN VERHEYDEN HENRI"/>
    <n v="70510000"/>
    <s v="Bijdragen individuele leden"/>
    <x v="37"/>
    <x v="2"/>
  </r>
  <r>
    <n v="10"/>
    <n v="22100053"/>
    <d v="2022-03-15T00:00:00"/>
    <n v="-25"/>
    <n v="-25"/>
    <s v="DEMOL DUPONT                        LIDGELD 2022 - ERNEST DE"/>
    <n v="70510000"/>
    <s v="Bijdragen individuele leden"/>
    <x v="37"/>
    <x v="2"/>
  </r>
  <r>
    <n v="10"/>
    <n v="22100054"/>
    <d v="2022-03-16T00:00:00"/>
    <n v="-25"/>
    <n v="-25"/>
    <s v="COOREMAN GERARD                     FACT 2022028"/>
    <n v="70510000"/>
    <s v="Bijdragen individuele leden"/>
    <x v="37"/>
    <x v="2"/>
  </r>
  <r>
    <n v="10"/>
    <n v="22100055"/>
    <d v="2022-03-17T00:00:00"/>
    <n v="-79"/>
    <n v="-79"/>
    <s v="FIRMA DEWAL BV                      FACTUURNR.: 2022067"/>
    <n v="70510000"/>
    <s v="Bijdragen individuele leden"/>
    <x v="37"/>
    <x v="2"/>
  </r>
  <r>
    <n v="10"/>
    <n v="22100056"/>
    <d v="2022-03-18T00:00:00"/>
    <n v="-79"/>
    <n v="-79"/>
    <s v="DE PAEPE - DARQUENNES               LID MICHEL DE PAEPE FACT"/>
    <n v="70510000"/>
    <s v="Bijdragen individuele leden"/>
    <x v="37"/>
    <x v="2"/>
  </r>
  <r>
    <n v="10"/>
    <n v="22100057"/>
    <d v="2022-03-19T00:00:00"/>
    <n v="-25"/>
    <n v="-25"/>
    <s v="PAEPE-DEPOORTER                     GEPENSIONEERD LID GILBER"/>
    <n v="70510000"/>
    <s v="Bijdragen individuele leden"/>
    <x v="37"/>
    <x v="2"/>
  </r>
  <r>
    <n v="10"/>
    <n v="22100058"/>
    <d v="2022-03-20T00:00:00"/>
    <n v="-25"/>
    <n v="-25"/>
    <s v="VERCRUYSSE LUC                      LIDGELD 2022"/>
    <n v="70510000"/>
    <s v="Bijdragen individuele leden"/>
    <x v="37"/>
    <x v="2"/>
  </r>
  <r>
    <n v="10"/>
    <n v="22100059"/>
    <d v="2022-03-21T00:00:00"/>
    <n v="-79"/>
    <n v="-79"/>
    <s v="REYNDERS CONSULT COMMV              FACTUUR 2022086"/>
    <n v="70510000"/>
    <s v="Bijdragen individuele leden"/>
    <x v="37"/>
    <x v="2"/>
  </r>
  <r>
    <n v="10"/>
    <n v="22100059"/>
    <d v="2022-03-21T00:00:00"/>
    <n v="-79"/>
    <n v="-79"/>
    <s v="BO ENGINEERING SRL                  COTISATION ATIC 2022"/>
    <n v="70510000"/>
    <s v="Bijdragen individuele leden"/>
    <x v="37"/>
    <x v="2"/>
  </r>
  <r>
    <n v="10"/>
    <n v="22100060"/>
    <d v="2022-03-22T00:00:00"/>
    <n v="-25"/>
    <n v="-25"/>
    <s v="ROBE ANDRE                          ROBE - FACTURE 2022 043"/>
    <n v="70510000"/>
    <s v="Bijdragen individuele leden"/>
    <x v="37"/>
    <x v="2"/>
  </r>
  <r>
    <n v="10"/>
    <n v="22100061"/>
    <d v="2022-03-23T00:00:00"/>
    <n v="-25"/>
    <n v="-25"/>
    <s v="THYS JOSEPH                         RETRAITE"/>
    <n v="70510000"/>
    <s v="Bijdragen individuele leden"/>
    <x v="37"/>
    <x v="2"/>
  </r>
  <r>
    <n v="10"/>
    <n v="22100061"/>
    <d v="2022-03-23T00:00:00"/>
    <n v="-79"/>
    <n v="-79"/>
    <s v="VERHAERT-WILLEMS                    FACTUUR 2022092"/>
    <n v="70510000"/>
    <s v="Bijdragen individuele leden"/>
    <x v="37"/>
    <x v="2"/>
  </r>
  <r>
    <n v="10"/>
    <n v="22100061"/>
    <d v="2022-03-23T00:00:00"/>
    <n v="-25"/>
    <n v="-25"/>
    <s v="INGENIERIE ET SERVICES SPR          COTISATION"/>
    <n v="70510000"/>
    <s v="Bijdragen individuele leden"/>
    <x v="37"/>
    <x v="2"/>
  </r>
  <r>
    <n v="10"/>
    <n v="22100063"/>
    <d v="2022-03-25T00:00:00"/>
    <n v="-41"/>
    <n v="-41"/>
    <s v="DUBOIS JONATHAN                     FACTURE 2022022"/>
    <n v="70510000"/>
    <s v="Bijdragen individuele leden"/>
    <x v="37"/>
    <x v="2"/>
  </r>
  <r>
    <n v="10"/>
    <n v="22100063"/>
    <d v="2022-03-25T00:00:00"/>
    <n v="-79"/>
    <n v="-79"/>
    <s v="ALLIANZ BENELUX SA                  2022076"/>
    <n v="70510000"/>
    <s v="Bijdragen individuele leden"/>
    <x v="37"/>
    <x v="2"/>
  </r>
  <r>
    <n v="10"/>
    <n v="22100064"/>
    <d v="2022-03-28T00:00:00"/>
    <n v="-25"/>
    <n v="-25"/>
    <s v="DE SMET PAUL                        FACTUUR NR 2022029"/>
    <n v="70510000"/>
    <s v="Bijdragen individuele leden"/>
    <x v="37"/>
    <x v="2"/>
  </r>
  <r>
    <n v="10"/>
    <n v="22100064"/>
    <d v="2022-03-28T00:00:00"/>
    <n v="-79"/>
    <n v="-79"/>
    <s v="DAVID - VANDER VEKEN                FACTUUR N  2022082 - LID"/>
    <n v="70510000"/>
    <s v="Bijdragen individuele leden"/>
    <x v="37"/>
    <x v="2"/>
  </r>
  <r>
    <n v="10"/>
    <n v="22100065"/>
    <d v="2022-03-29T00:00:00"/>
    <n v="-79"/>
    <n v="-79"/>
    <s v="KG TEG COMM.V                       FACTUUR 2022073"/>
    <n v="70510000"/>
    <s v="Bijdragen individuele leden"/>
    <x v="37"/>
    <x v="2"/>
  </r>
  <r>
    <n v="10"/>
    <n v="22100065"/>
    <d v="2022-03-29T00:00:00"/>
    <n v="-25"/>
    <n v="-25"/>
    <s v="GOESSENS JEAN-PIERRE                COTISATION 2022 RETRAITE"/>
    <n v="70510000"/>
    <s v="Bijdragen individuele leden"/>
    <x v="37"/>
    <x v="2"/>
  </r>
  <r>
    <n v="10"/>
    <n v="22100067"/>
    <d v="2022-03-31T00:00:00"/>
    <n v="-25"/>
    <n v="-25"/>
    <s v="GODARD DOURET                       FACTURE 2022036 COTISATI"/>
    <n v="70510000"/>
    <s v="Bijdragen individuele leden"/>
    <x v="37"/>
    <x v="2"/>
  </r>
  <r>
    <n v="10"/>
    <n v="22100067"/>
    <d v="2022-03-31T00:00:00"/>
    <n v="-25"/>
    <n v="-25"/>
    <s v="M FRANCOIS GUINOTTE                 COTISATION 2022 FACTURE"/>
    <n v="70510000"/>
    <s v="Bijdragen individuele leden"/>
    <x v="37"/>
    <x v="2"/>
  </r>
  <r>
    <n v="10"/>
    <n v="22100067"/>
    <d v="2022-03-31T00:00:00"/>
    <n v="-79"/>
    <n v="-79"/>
    <s v="AIRG SPRL                           FACTURE 2022074"/>
    <n v="70510000"/>
    <s v="Bijdragen individuele leden"/>
    <x v="37"/>
    <x v="2"/>
  </r>
  <r>
    <n v="10"/>
    <n v="22100068"/>
    <d v="2022-04-01T00:00:00"/>
    <n v="-41"/>
    <n v="-41"/>
    <s v="DEROUAUX TSHIENZA                   FACTURE NO 2022208"/>
    <n v="70510000"/>
    <s v="Bijdragen individuele leden"/>
    <x v="37"/>
    <x v="2"/>
  </r>
  <r>
    <n v="10"/>
    <n v="22100068"/>
    <d v="2022-04-01T00:00:00"/>
    <n v="-79"/>
    <n v="-79"/>
    <s v="JANSSENS BART                       FACTUUR 2022054"/>
    <n v="70510000"/>
    <s v="Bijdragen individuele leden"/>
    <x v="37"/>
    <x v="2"/>
  </r>
  <r>
    <n v="10"/>
    <n v="22100068"/>
    <d v="2022-04-01T00:00:00"/>
    <n v="-79"/>
    <n v="-79"/>
    <s v="M PATRICK DE VISSCHER               COTISATION 2022 / FACTUR"/>
    <n v="70510000"/>
    <s v="Bijdragen individuele leden"/>
    <x v="37"/>
    <x v="2"/>
  </r>
  <r>
    <n v="10"/>
    <n v="22100069"/>
    <d v="2022-04-04T00:00:00"/>
    <n v="-79"/>
    <n v="-79"/>
    <s v="STADSBESTUUR BRUGGE                 2022080"/>
    <n v="70510000"/>
    <s v="Bijdragen individuele leden"/>
    <x v="37"/>
    <x v="2"/>
  </r>
  <r>
    <n v="10"/>
    <n v="22100070"/>
    <d v="2022-04-05T00:00:00"/>
    <n v="-79"/>
    <n v="-79"/>
    <s v="KATHOLIEKE UNIVERSITEIT LEUVEN      2022075 A220024233"/>
    <n v="70510000"/>
    <s v="Bijdragen individuele leden"/>
    <x v="37"/>
    <x v="2"/>
  </r>
  <r>
    <n v="10"/>
    <n v="22100071"/>
    <d v="2022-04-06T00:00:00"/>
    <n v="-25"/>
    <n v="-25"/>
    <s v="GOESSENS JEAN-PIERRE                COTISATION 2022"/>
    <n v="70510000"/>
    <s v="Bijdragen individuele leden"/>
    <x v="37"/>
    <x v="2"/>
  </r>
  <r>
    <n v="10"/>
    <n v="22100081"/>
    <d v="2022-04-20T00:00:00"/>
    <n v="-79"/>
    <n v="-79"/>
    <s v="CENTRE SCIENTIFIQUE ET TEC          2022055"/>
    <n v="70510000"/>
    <s v="Bijdragen individuele leden"/>
    <x v="37"/>
    <x v="2"/>
  </r>
  <r>
    <n v="10"/>
    <n v="22100081"/>
    <d v="2022-04-20T00:00:00"/>
    <n v="-79"/>
    <n v="-79"/>
    <s v="CENTRE SCIENTIFIQUE ET TEC          2022091"/>
    <n v="70510000"/>
    <s v="Bijdragen individuele leden"/>
    <x v="37"/>
    <x v="2"/>
  </r>
  <r>
    <n v="10"/>
    <n v="22100083"/>
    <d v="2022-04-22T00:00:00"/>
    <n v="-79"/>
    <n v="-79"/>
    <s v="STARCK CHRISTOPHE                   FACTURE 2022191"/>
    <n v="70510000"/>
    <s v="Bijdragen individuele leden"/>
    <x v="37"/>
    <x v="2"/>
  </r>
  <r>
    <n v="10"/>
    <n v="22100085"/>
    <d v="2022-04-25T00:00:00"/>
    <n v="-79"/>
    <n v="-79"/>
    <s v="UNGER/CPTE ETUDE                    COTISATION MEMBRE INDIVI"/>
    <n v="70510000"/>
    <s v="Bijdragen individuele leden"/>
    <x v="37"/>
    <x v="2"/>
  </r>
  <r>
    <n v="10"/>
    <n v="22100086"/>
    <d v="2022-04-26T00:00:00"/>
    <n v="-25"/>
    <n v="-25"/>
    <s v="M.G GROUP BELGIUM SA                M G GROUP - JAN DOCKX"/>
    <n v="70510000"/>
    <s v="Bijdragen individuele leden"/>
    <x v="37"/>
    <x v="2"/>
  </r>
  <r>
    <n v="10"/>
    <n v="22100088"/>
    <d v="2022-04-28T00:00:00"/>
    <n v="-79"/>
    <n v="-79"/>
    <s v="VAN MAELE NV                        F.2022088"/>
    <n v="70510000"/>
    <s v="Bijdragen individuele leden"/>
    <x v="37"/>
    <x v="2"/>
  </r>
  <r>
    <n v="10"/>
    <n v="22100045"/>
    <d v="2022-03-04T00:00:00"/>
    <n v="-864"/>
    <n v="-864"/>
    <s v="S.A. CLOSE                          F2022168"/>
    <n v="70512000"/>
    <s v="Bijdrage bedrijfsleden"/>
    <x v="38"/>
    <x v="2"/>
  </r>
  <r>
    <n v="10"/>
    <n v="22100048"/>
    <d v="2022-03-08T00:00:00"/>
    <n v="-595"/>
    <n v="-595"/>
    <s v="LES ENTREPRISES ESMER SA            FACTURE 2022156"/>
    <n v="70512000"/>
    <s v="Bijdrage bedrijfsleden"/>
    <x v="38"/>
    <x v="2"/>
  </r>
  <r>
    <n v="10"/>
    <n v="22100049"/>
    <d v="2022-03-09T00:00:00"/>
    <n v="-349"/>
    <n v="-349"/>
    <s v="RESUS DISTRI NV                     FACTUUR 2022133 - LIDMAA"/>
    <n v="70512000"/>
    <s v="Bijdrage bedrijfsleden"/>
    <x v="38"/>
    <x v="2"/>
  </r>
  <r>
    <n v="10"/>
    <n v="22100049"/>
    <d v="2022-03-09T00:00:00"/>
    <n v="-349"/>
    <n v="-349"/>
    <s v="MICRONISER SCRI                     2022126 COTISATION 2022"/>
    <n v="70512000"/>
    <s v="Bijdrage bedrijfsleden"/>
    <x v="38"/>
    <x v="2"/>
  </r>
  <r>
    <n v="10"/>
    <n v="22100049"/>
    <d v="2022-03-09T00:00:00"/>
    <n v="-349"/>
    <n v="-349"/>
    <s v="CONCEPT CONTROL SA                  FACT 2022107 - ANNEE 202"/>
    <n v="70512000"/>
    <s v="Bijdrage bedrijfsleden"/>
    <x v="38"/>
    <x v="2"/>
  </r>
  <r>
    <n v="10"/>
    <n v="22100049"/>
    <d v="2022-03-09T00:00:00"/>
    <n v="-349"/>
    <n v="-349"/>
    <s v="ATIC BUILDWIND SPRL"/>
    <n v="70512000"/>
    <s v="Bijdrage bedrijfsleden"/>
    <x v="38"/>
    <x v="2"/>
  </r>
  <r>
    <n v="10"/>
    <n v="22100050"/>
    <d v="2022-03-10T00:00:00"/>
    <n v="-349"/>
    <n v="-349"/>
    <s v="ECORCE, ECONOMISER L'ENERGIE, RESPE FACTURE 2022112"/>
    <n v="70512000"/>
    <s v="Bijdrage bedrijfsleden"/>
    <x v="38"/>
    <x v="2"/>
  </r>
  <r>
    <n v="10"/>
    <n v="22100050"/>
    <d v="2022-03-10T00:00:00"/>
    <n v="-864"/>
    <n v="-864"/>
    <s v="VK ENGINEERING NV                   2022186"/>
    <n v="70512000"/>
    <s v="Bijdrage bedrijfsleden"/>
    <x v="38"/>
    <x v="2"/>
  </r>
  <r>
    <n v="10"/>
    <n v="22100050"/>
    <d v="2022-03-10T00:00:00"/>
    <n v="-349"/>
    <n v="-349"/>
    <s v="BELVEN NV                           2022103"/>
    <n v="70512000"/>
    <s v="Bijdrage bedrijfsleden"/>
    <x v="38"/>
    <x v="2"/>
  </r>
  <r>
    <n v="10"/>
    <n v="22100050"/>
    <d v="2022-03-10T00:00:00"/>
    <n v="-864"/>
    <n v="-864"/>
    <s v="SA DE VENTE TRANE                   2022182"/>
    <n v="70512000"/>
    <s v="Bijdrage bedrijfsleden"/>
    <x v="38"/>
    <x v="2"/>
  </r>
  <r>
    <n v="10"/>
    <n v="22100051"/>
    <d v="2022-03-11T00:00:00"/>
    <n v="-864"/>
    <n v="-864"/>
    <s v="RENSON VENTILATION N V              /INV/2022176"/>
    <n v="70512000"/>
    <s v="Bijdrage bedrijfsleden"/>
    <x v="38"/>
    <x v="2"/>
  </r>
  <r>
    <n v="10"/>
    <n v="22100051"/>
    <d v="2022-03-11T00:00:00"/>
    <n v="-349"/>
    <n v="-349"/>
    <s v="RCR, STUDIEBUREAU SPECIALE          FACTUUR 2022132 - LIDMAA"/>
    <n v="70512000"/>
    <s v="Bijdrage bedrijfsleden"/>
    <x v="38"/>
    <x v="2"/>
  </r>
  <r>
    <n v="10"/>
    <n v="22100051"/>
    <d v="2022-03-11T00:00:00"/>
    <n v="-349"/>
    <n v="-349"/>
    <s v="FLOW TRANSFER                       FACTURE 2022-117"/>
    <n v="70512000"/>
    <s v="Bijdrage bedrijfsleden"/>
    <x v="38"/>
    <x v="2"/>
  </r>
  <r>
    <n v="10"/>
    <n v="22100051"/>
    <d v="2022-03-11T00:00:00"/>
    <n v="-349"/>
    <n v="-349"/>
    <s v="FI ENGINEERING SRL                  FACTURE 2022116"/>
    <n v="70512000"/>
    <s v="Bijdrage bedrijfsleden"/>
    <x v="38"/>
    <x v="2"/>
  </r>
  <r>
    <n v="10"/>
    <n v="22100053"/>
    <d v="2022-03-15T00:00:00"/>
    <n v="-649"/>
    <n v="-649"/>
    <s v="S.A. TROX BELGIUM N.V. SA           2022161"/>
    <n v="70512000"/>
    <s v="Bijdrage bedrijfsleden"/>
    <x v="38"/>
    <x v="2"/>
  </r>
  <r>
    <n v="10"/>
    <n v="22100053"/>
    <d v="2022-03-15T00:00:00"/>
    <n v="-349"/>
    <n v="-349"/>
    <s v="ABC TECHNICS SPRL                   2022098"/>
    <n v="70512000"/>
    <s v="Bijdrage bedrijfsleden"/>
    <x v="38"/>
    <x v="2"/>
  </r>
  <r>
    <n v="10"/>
    <n v="22100053"/>
    <d v="2022-03-15T00:00:00"/>
    <n v="-421"/>
    <n v="-421"/>
    <s v="G.E.I. TECHNIQUES SPECIALES SA      FA 2022147"/>
    <n v="70512000"/>
    <s v="Bijdrage bedrijfsleden"/>
    <x v="38"/>
    <x v="2"/>
  </r>
  <r>
    <n v="10"/>
    <n v="22100053"/>
    <d v="2022-03-15T00:00:00"/>
    <n v="-864"/>
    <n v="-864"/>
    <s v="SWECO BELGIUM BV                    70148608031251"/>
    <n v="70512000"/>
    <s v="Bijdrage bedrijfsleden"/>
    <x v="38"/>
    <x v="2"/>
  </r>
  <r>
    <n v="10"/>
    <n v="22100053"/>
    <d v="2022-03-15T00:00:00"/>
    <n v="-349"/>
    <n v="-349"/>
    <s v="PRIVA BUILDING INTELLIGENCE NV      2022131"/>
    <n v="70512000"/>
    <s v="Bijdrage bedrijfsleden"/>
    <x v="38"/>
    <x v="2"/>
  </r>
  <r>
    <n v="10"/>
    <n v="22100054"/>
    <d v="2022-03-16T00:00:00"/>
    <n v="-373"/>
    <n v="-373"/>
    <s v="HALTON NV                           FACTUUR 2022141"/>
    <n v="70512000"/>
    <s v="Bijdrage bedrijfsleden"/>
    <x v="38"/>
    <x v="2"/>
  </r>
  <r>
    <n v="10"/>
    <n v="22100054"/>
    <d v="2022-03-16T00:00:00"/>
    <n v="-349"/>
    <n v="-349"/>
    <s v="SCHAKO SARL                         2022134"/>
    <n v="70512000"/>
    <s v="Bijdrage bedrijfsleden"/>
    <x v="38"/>
    <x v="2"/>
  </r>
  <r>
    <n v="10"/>
    <n v="22100055"/>
    <d v="2022-03-17T00:00:00"/>
    <n v="-349"/>
    <n v="-349"/>
    <s v="ELLYPS SA                           20222115"/>
    <n v="70512000"/>
    <s v="Bijdrage bedrijfsleden"/>
    <x v="38"/>
    <x v="2"/>
  </r>
  <r>
    <n v="10"/>
    <n v="22100056"/>
    <d v="2022-03-18T00:00:00"/>
    <n v="-557"/>
    <n v="-557"/>
    <s v="S.A. ISTA N.V. SA                   2022154NO. 2022154  24.2"/>
    <n v="70512000"/>
    <s v="Bijdrage bedrijfsleden"/>
    <x v="38"/>
    <x v="2"/>
  </r>
  <r>
    <n v="10"/>
    <n v="22100056"/>
    <d v="2022-03-18T00:00:00"/>
    <n v="-349"/>
    <n v="-349"/>
    <s v="ELD N V                             FACTUUR 2022114 DD 24022"/>
    <n v="70512000"/>
    <s v="Bijdrage bedrijfsleden"/>
    <x v="38"/>
    <x v="2"/>
  </r>
  <r>
    <n v="10"/>
    <n v="22100057"/>
    <d v="2022-03-19T00:00:00"/>
    <n v="-349"/>
    <n v="-349"/>
    <s v="STUDIEBUREAU VIAENE BV              FACTUURNR. 2022136 - BED"/>
    <n v="70512000"/>
    <s v="Bijdrage bedrijfsleden"/>
    <x v="38"/>
    <x v="2"/>
  </r>
  <r>
    <n v="10"/>
    <n v="22100059"/>
    <d v="2022-03-21T00:00:00"/>
    <n v="-349"/>
    <n v="-349"/>
    <s v="NATHAN SYSTEMS NV                   2022127"/>
    <n v="70512000"/>
    <s v="Bijdrage bedrijfsleden"/>
    <x v="38"/>
    <x v="2"/>
  </r>
  <r>
    <n v="10"/>
    <n v="22100060"/>
    <d v="2022-03-22T00:00:00"/>
    <n v="-864"/>
    <n v="-864"/>
    <s v="REMEHA NV                           /INV/2022175/24.2.2022"/>
    <n v="70512000"/>
    <s v="Bijdrage bedrijfsleden"/>
    <x v="38"/>
    <x v="2"/>
  </r>
  <r>
    <n v="10"/>
    <n v="22100060"/>
    <d v="2022-03-22T00:00:00"/>
    <n v="-864"/>
    <n v="-864"/>
    <s v="VIESSMANN GROUP GMBH + CO. KG       KTO BEI IHNEN 609990889,"/>
    <n v="70512000"/>
    <s v="Bijdrage bedrijfsleden"/>
    <x v="38"/>
    <x v="2"/>
  </r>
  <r>
    <n v="10"/>
    <n v="22100060"/>
    <d v="2022-03-22T00:00:00"/>
    <n v="-320"/>
    <n v="-320"/>
    <s v="DANNEELS SA SA                      2022193"/>
    <n v="70512000"/>
    <s v="Bijdrage bedrijfsleden"/>
    <x v="38"/>
    <x v="2"/>
  </r>
  <r>
    <n v="10"/>
    <n v="22100061"/>
    <d v="2022-03-23T00:00:00"/>
    <n v="-864"/>
    <n v="-864"/>
    <s v="DAIKIN AIRCONDITIONING BELGIUM NV   /INV/2022169 24.2.2022"/>
    <n v="70512000"/>
    <s v="Bijdrage bedrijfsleden"/>
    <x v="38"/>
    <x v="2"/>
  </r>
  <r>
    <n v="10"/>
    <n v="22100061"/>
    <d v="2022-03-23T00:00:00"/>
    <n v="-400"/>
    <n v="-400"/>
    <s v="ALLIANCE ENGINEERING SPRL           2022145"/>
    <n v="70512000"/>
    <s v="Bijdrage bedrijfsleden"/>
    <x v="38"/>
    <x v="2"/>
  </r>
  <r>
    <n v="10"/>
    <n v="22100063"/>
    <d v="2022-03-25T00:00:00"/>
    <n v="-349"/>
    <n v="-349"/>
    <s v="KIEBACK &amp; PETER BELGIUM BV          FACTUUR 2022123"/>
    <n v="70512000"/>
    <s v="Bijdrage bedrijfsleden"/>
    <x v="38"/>
    <x v="2"/>
  </r>
  <r>
    <n v="10"/>
    <n v="22100063"/>
    <d v="2022-03-25T00:00:00"/>
    <n v="-349"/>
    <n v="-349"/>
    <s v="ARTEX INGENIEURS EN ARCHITECTEN BV  F 2022100 LIDMAATSCHAP"/>
    <n v="70512000"/>
    <s v="Bijdrage bedrijfsleden"/>
    <x v="38"/>
    <x v="2"/>
  </r>
  <r>
    <n v="10"/>
    <n v="22100063"/>
    <d v="2022-03-25T00:00:00"/>
    <n v="-864"/>
    <n v="-864"/>
    <s v="TRACTEBEL ENGINEERING SA            2022181//"/>
    <n v="70512000"/>
    <s v="Bijdrage bedrijfsleden"/>
    <x v="38"/>
    <x v="2"/>
  </r>
  <r>
    <n v="10"/>
    <n v="22100064"/>
    <d v="2022-03-28T00:00:00"/>
    <n v="-485"/>
    <n v="-485"/>
    <s v="ABETEC ARCHITECTEN &amp; INGEN          2022150"/>
    <n v="70512000"/>
    <s v="Bijdrage bedrijfsleden"/>
    <x v="38"/>
    <x v="2"/>
  </r>
  <r>
    <n v="10"/>
    <n v="22100064"/>
    <d v="2022-03-28T00:00:00"/>
    <n v="-349"/>
    <n v="-349"/>
    <s v="KAY NV                              2022122"/>
    <n v="70512000"/>
    <s v="Bijdrage bedrijfsleden"/>
    <x v="38"/>
    <x v="2"/>
  </r>
  <r>
    <n v="10"/>
    <n v="22100065"/>
    <d v="2022-03-29T00:00:00"/>
    <n v="-349"/>
    <n v="-349"/>
    <s v="AIKO ARCHITECTEN EN INGENIEURS CV(B FACTUUR 2022099"/>
    <n v="70512000"/>
    <s v="Bijdrage bedrijfsleden"/>
    <x v="38"/>
    <x v="2"/>
  </r>
  <r>
    <n v="10"/>
    <n v="22100065"/>
    <d v="2022-03-29T00:00:00"/>
    <n v="-541"/>
    <n v="-541"/>
    <s v="ELCO BELGIUM SA                     COMPTE CHEZNO 2022153/24"/>
    <n v="70512000"/>
    <s v="Bijdrage bedrijfsleden"/>
    <x v="38"/>
    <x v="2"/>
  </r>
  <r>
    <n v="10"/>
    <n v="22100066"/>
    <d v="2022-03-30T00:00:00"/>
    <n v="-864"/>
    <n v="-864"/>
    <s v="SWECO BELGIUM BV                    2022179"/>
    <n v="70512000"/>
    <s v="Bijdrage bedrijfsleden"/>
    <x v="38"/>
    <x v="2"/>
  </r>
  <r>
    <n v="10"/>
    <n v="22100066"/>
    <d v="2022-03-30T00:00:00"/>
    <n v="-349"/>
    <n v="-349"/>
    <s v="ELACON BV                           FACTUUR NR 2022113"/>
    <n v="70512000"/>
    <s v="Bijdrage bedrijfsleden"/>
    <x v="38"/>
    <x v="2"/>
  </r>
  <r>
    <n v="10"/>
    <n v="22100067"/>
    <d v="2022-03-31T00:00:00"/>
    <n v="-349"/>
    <n v="-349"/>
    <s v="MENERGA NV                          2022125"/>
    <n v="70512000"/>
    <s v="Bijdrage bedrijfsleden"/>
    <x v="38"/>
    <x v="2"/>
  </r>
  <r>
    <n v="10"/>
    <n v="22100069"/>
    <d v="2022-04-04T00:00:00"/>
    <n v="-864"/>
    <n v="-864"/>
    <s v="ATLANTIC BELGIUM S A                /INV/2022166 24.2.2022"/>
    <n v="70512000"/>
    <s v="Bijdrage bedrijfsleden"/>
    <x v="38"/>
    <x v="2"/>
  </r>
  <r>
    <n v="10"/>
    <n v="22100069"/>
    <d v="2022-04-04T00:00:00"/>
    <n v="-474"/>
    <n v="-474"/>
    <s v="AFPRO FILTERS BVBA                  2022149"/>
    <n v="70512000"/>
    <s v="Bijdrage bedrijfsleden"/>
    <x v="38"/>
    <x v="2"/>
  </r>
  <r>
    <n v="10"/>
    <n v="22100070"/>
    <d v="2022-04-05T00:00:00"/>
    <n v="-864"/>
    <n v="-864"/>
    <s v="ARCADIS BELGIUM NV                  2022165"/>
    <n v="70512000"/>
    <s v="Bijdrage bedrijfsleden"/>
    <x v="38"/>
    <x v="2"/>
  </r>
  <r>
    <n v="10"/>
    <n v="22100070"/>
    <d v="2022-04-05T00:00:00"/>
    <n v="-607"/>
    <n v="-607"/>
    <s v="REGIE DER GEBOUWEN REGIE DES BATIME 2022158"/>
    <n v="70512000"/>
    <s v="Bijdrage bedrijfsleden"/>
    <x v="38"/>
    <x v="2"/>
  </r>
  <r>
    <n v="10"/>
    <n v="22100070"/>
    <d v="2022-04-05T00:00:00"/>
    <n v="-349"/>
    <n v="-349"/>
    <s v="IR. P. POELMANS STUDIEBUREAU BVBA   FACT 2022129"/>
    <n v="70512000"/>
    <s v="Bijdrage bedrijfsleden"/>
    <x v="38"/>
    <x v="2"/>
  </r>
  <r>
    <n v="10"/>
    <n v="22100070"/>
    <d v="2022-04-05T00:00:00"/>
    <n v="-349"/>
    <n v="-349"/>
    <s v="CENERGIE NV                         FACTUUR 2022105"/>
    <n v="70512000"/>
    <s v="Bijdrage bedrijfsleden"/>
    <x v="38"/>
    <x v="2"/>
  </r>
  <r>
    <n v="10"/>
    <n v="22100070"/>
    <d v="2022-04-05T00:00:00"/>
    <n v="-349"/>
    <n v="-349"/>
    <s v="KRIVARO TECHNICS                    2022124"/>
    <n v="70512000"/>
    <s v="Bijdrage bedrijfsleden"/>
    <x v="38"/>
    <x v="2"/>
  </r>
  <r>
    <n v="10"/>
    <n v="22100071"/>
    <d v="2022-04-06T00:00:00"/>
    <n v="-349"/>
    <n v="-349"/>
    <s v="INGENIUM NV                         FACT 2022120"/>
    <n v="70512000"/>
    <s v="Bijdrage bedrijfsleden"/>
    <x v="38"/>
    <x v="2"/>
  </r>
  <r>
    <n v="10"/>
    <n v="22100071"/>
    <d v="2022-04-06T00:00:00"/>
    <n v="-349"/>
    <n v="-349"/>
    <s v="VINCO DEVELOPMENTS BVBA             2022137"/>
    <n v="70512000"/>
    <s v="Bijdrage bedrijfsleden"/>
    <x v="38"/>
    <x v="2"/>
  </r>
  <r>
    <n v="10"/>
    <n v="22100072"/>
    <d v="2022-04-07T00:00:00"/>
    <n v="-864"/>
    <n v="-864"/>
    <s v="IMTECH BELGIUM NV                   FACT.2022173/LIDMAATS.20"/>
    <n v="70512000"/>
    <s v="Bijdrage bedrijfsleden"/>
    <x v="38"/>
    <x v="2"/>
  </r>
  <r>
    <n v="10"/>
    <n v="22100073"/>
    <d v="2022-04-08T00:00:00"/>
    <n v="-349"/>
    <n v="-349"/>
    <s v="TAC NV                              2022135"/>
    <n v="70512000"/>
    <s v="Bijdrage bedrijfsleden"/>
    <x v="38"/>
    <x v="2"/>
  </r>
  <r>
    <n v="10"/>
    <n v="22100073"/>
    <d v="2022-04-08T00:00:00"/>
    <n v="-291"/>
    <n v="-291"/>
    <s v="VERO DUCO NV                        FACTUUR 2022188"/>
    <n v="70512000"/>
    <s v="Bijdrage bedrijfsleden"/>
    <x v="38"/>
    <x v="2"/>
  </r>
  <r>
    <n v="10"/>
    <n v="22100073"/>
    <d v="2022-04-08T00:00:00"/>
    <n v="-349"/>
    <n v="-349"/>
    <s v="HAMSTER CLEANING NV                 2022118"/>
    <n v="70512000"/>
    <s v="Bijdrage bedrijfsleden"/>
    <x v="38"/>
    <x v="2"/>
  </r>
  <r>
    <n v="10"/>
    <n v="22100078"/>
    <d v="2022-04-13T00:00:00"/>
    <n v="-864"/>
    <n v="-864"/>
    <s v="BOSCH THERMOTECHNOLOGY NV           /INV/2022167 24.2.2022"/>
    <n v="70512000"/>
    <s v="Bijdrage bedrijfsleden"/>
    <x v="38"/>
    <x v="2"/>
  </r>
  <r>
    <n v="10"/>
    <n v="22100078"/>
    <d v="2022-04-13T00:00:00"/>
    <n v="-349"/>
    <n v="-349"/>
    <s v="EMAZE BV                            FACTUUR 2022208"/>
    <n v="70512000"/>
    <s v="Bijdrage bedrijfsleden"/>
    <x v="38"/>
    <x v="2"/>
  </r>
  <r>
    <n v="10"/>
    <n v="22100078"/>
    <d v="2022-04-13T00:00:00"/>
    <n v="-864"/>
    <n v="-864"/>
    <s v="SECO BELGIUM SA                     2022177"/>
    <n v="70512000"/>
    <s v="Bijdrage bedrijfsleden"/>
    <x v="38"/>
    <x v="2"/>
  </r>
  <r>
    <n v="10"/>
    <n v="22100078"/>
    <d v="2022-04-13T00:00:00"/>
    <n v="-354"/>
    <n v="-354"/>
    <s v="ABT-BELGIE BV                       LIDGELD 2022"/>
    <n v="70512000"/>
    <s v="Bijdrage bedrijfsleden"/>
    <x v="38"/>
    <x v="2"/>
  </r>
  <r>
    <n v="10"/>
    <n v="22100079"/>
    <d v="2022-04-14T00:00:00"/>
    <n v="-349"/>
    <n v="-349"/>
    <s v="CLIMAPAC BVBA                       2022106"/>
    <n v="70512000"/>
    <s v="Bijdrage bedrijfsleden"/>
    <x v="38"/>
    <x v="2"/>
  </r>
  <r>
    <n v="10"/>
    <n v="22100080"/>
    <d v="2022-04-19T00:00:00"/>
    <n v="-607"/>
    <n v="-607"/>
    <s v="UNIVERSITEIT ANTWERPEN              2022159"/>
    <n v="70512000"/>
    <s v="Bijdrage bedrijfsleden"/>
    <x v="38"/>
    <x v="2"/>
  </r>
  <r>
    <n v="10"/>
    <n v="22100080"/>
    <d v="2022-04-19T00:00:00"/>
    <n v="-835"/>
    <n v="-835"/>
    <s v="ETEX BUILDING PERFORMANCE NV        /2022163  24.2.2022"/>
    <n v="70512000"/>
    <s v="Bijdrage bedrijfsleden"/>
    <x v="38"/>
    <x v="2"/>
  </r>
  <r>
    <n v="10"/>
    <n v="22100081"/>
    <d v="2022-04-20T00:00:00"/>
    <n v="-349"/>
    <n v="-349"/>
    <s v="DPS GROUP BELGIUM B V               INVOICE 2022111"/>
    <n v="70512000"/>
    <s v="Bijdrage bedrijfsleden"/>
    <x v="38"/>
    <x v="2"/>
  </r>
  <r>
    <n v="10"/>
    <n v="22100086"/>
    <d v="2022-04-26T00:00:00"/>
    <n v="-564"/>
    <n v="-564"/>
    <s v="RF TECHNOLOGIES NV"/>
    <n v="70512000"/>
    <s v="Bijdrage bedrijfsleden"/>
    <x v="38"/>
    <x v="2"/>
  </r>
  <r>
    <n v="10"/>
    <n v="22100023"/>
    <d v="2022-02-02T00:00:00"/>
    <n v="-100"/>
    <n v="-100"/>
    <s v="ATELIER T,INGENIEURS EN             FACTUUR NR.2022006 BESTE"/>
    <n v="70596000"/>
    <s v="Diverse inkomsten"/>
    <x v="39"/>
    <x v="2"/>
  </r>
  <r>
    <n v="10"/>
    <n v="22100004"/>
    <d v="2022-01-06T00:00:00"/>
    <n v="-2340"/>
    <n v="-2340"/>
    <s v="SA DE VENTE TRANE                   CYCLE 1 - 2022 TARIK EL"/>
    <n v="70616000"/>
    <s v="Inschrijvingen cyclus i"/>
    <x v="40"/>
    <x v="0"/>
  </r>
  <r>
    <n v="10"/>
    <n v="22100071"/>
    <d v="2022-04-06T00:00:00"/>
    <n v="-420"/>
    <n v="-420"/>
    <s v="DABESTAN GHOLAM                     CYCLE 1-2022 DABESTAN"/>
    <n v="70616000"/>
    <s v="Inschrijvingen cyclus i"/>
    <x v="40"/>
    <x v="0"/>
  </r>
  <r>
    <n v="10"/>
    <n v="22100024"/>
    <d v="2022-02-04T00:00:00"/>
    <n v="-900"/>
    <n v="-900"/>
    <s v="SODEXO PASS BELGIUM SA              SPR000020274618623 2021K"/>
    <n v="70679000"/>
    <s v="Inschrijvingen cyclus IV - A/B/C"/>
    <x v="41"/>
    <x v="0"/>
  </r>
  <r>
    <n v="10"/>
    <n v="22100026"/>
    <d v="2022-02-07T00:00:00"/>
    <n v="-750"/>
    <n v="-750"/>
    <s v="SODEXO PASS BELGIUM SA              SPR000020288371418 2022K"/>
    <n v="70679000"/>
    <s v="Inschrijvingen cyclus IV - A/B/C"/>
    <x v="41"/>
    <x v="0"/>
  </r>
  <r>
    <n v="10"/>
    <n v="22100027"/>
    <d v="2022-02-08T00:00:00"/>
    <n v="-750"/>
    <n v="-750"/>
    <s v="SODEXO PASS BELGIUM SA              SPR000020300710793 2022K"/>
    <n v="70679000"/>
    <s v="Inschrijvingen cyclus IV - A/B/C"/>
    <x v="41"/>
    <x v="0"/>
  </r>
  <r>
    <n v="10"/>
    <n v="22100032"/>
    <d v="2022-02-14T00:00:00"/>
    <n v="-1500"/>
    <n v="-1500"/>
    <s v="VIESSMANN GROUP GMBH + CO. KG       KTO BEI IHNEN 609990889,"/>
    <n v="70679000"/>
    <s v="Inschrijvingen cyclus IV - A/B/C"/>
    <x v="41"/>
    <x v="0"/>
  </r>
  <r>
    <n v="10"/>
    <n v="22100032"/>
    <d v="2022-02-14T00:00:00"/>
    <n v="-1500"/>
    <n v="-1500"/>
    <s v="SODEXO PASS BELGIUM SA              SPR000020328622789 2021K"/>
    <n v="70679000"/>
    <s v="Inschrijvingen cyclus IV - A/B/C"/>
    <x v="41"/>
    <x v="0"/>
  </r>
  <r>
    <n v="10"/>
    <n v="22100036"/>
    <d v="2022-02-18T00:00:00"/>
    <n v="-720"/>
    <n v="-720"/>
    <s v="SODEXO PASS BELGIUM SA              SPR000020346338559 2022K"/>
    <n v="70679000"/>
    <s v="Inschrijvingen cyclus IV - A/B/C"/>
    <x v="41"/>
    <x v="0"/>
  </r>
  <r>
    <n v="10"/>
    <n v="22100036"/>
    <d v="2022-02-18T00:00:00"/>
    <n v="-1440"/>
    <n v="-1440"/>
    <s v="SODEXO PASS BELGIUM SA              SPR000020346336557 2022K"/>
    <n v="70679000"/>
    <s v="Inschrijvingen cyclus IV - A/B/C"/>
    <x v="41"/>
    <x v="0"/>
  </r>
  <r>
    <n v="10"/>
    <n v="22100040"/>
    <d v="2022-02-24T00:00:00"/>
    <n v="-900"/>
    <n v="-900"/>
    <s v="LOJEGA SC                           2022009"/>
    <n v="70679000"/>
    <s v="Inschrijvingen cyclus IV - A/B/C"/>
    <x v="41"/>
    <x v="0"/>
  </r>
  <r>
    <n v="10"/>
    <n v="22100041"/>
    <d v="2022-02-25T00:00:00"/>
    <n v="-1500"/>
    <n v="-1500"/>
    <s v="SWECO BELGIUM BV                    2022008"/>
    <n v="70679000"/>
    <s v="Inschrijvingen cyclus IV - A/B/C"/>
    <x v="41"/>
    <x v="0"/>
  </r>
  <r>
    <n v="10"/>
    <n v="22100043"/>
    <d v="2022-03-02T00:00:00"/>
    <n v="-900"/>
    <n v="-900"/>
    <s v="FABRICOM                            /INV/2022010 22.1.2022"/>
    <n v="70679000"/>
    <s v="Inschrijvingen cyclus IV - A/B/C"/>
    <x v="41"/>
    <x v="0"/>
  </r>
  <r>
    <n v="10"/>
    <n v="22100053"/>
    <d v="2022-03-15T00:00:00"/>
    <n v="-750"/>
    <n v="-750"/>
    <s v="FLAKTGROUP BELGIUM NV               2022012"/>
    <n v="70679000"/>
    <s v="Inschrijvingen cyclus IV - A/B/C"/>
    <x v="41"/>
    <x v="0"/>
  </r>
  <r>
    <n v="10"/>
    <n v="22100055"/>
    <d v="2022-03-17T00:00:00"/>
    <n v="-2240"/>
    <n v="-2240"/>
    <s v="LES ENTREPRISES ESMER SA            2022191-INSCRIPTION RALU"/>
    <n v="70679000"/>
    <s v="Inschrijvingen cyclus IV - A/B/C"/>
    <x v="41"/>
    <x v="0"/>
  </r>
  <r>
    <n v="10"/>
    <n v="22100056"/>
    <d v="2022-03-18T00:00:00"/>
    <n v="-2240"/>
    <n v="-2240"/>
    <s v="SODEXO PASS BELGIUM SA              SPR000020488724374 2022K"/>
    <n v="70679000"/>
    <s v="Inschrijvingen cyclus IV - A/B/C"/>
    <x v="41"/>
    <x v="0"/>
  </r>
  <r>
    <n v="10"/>
    <n v="22100059"/>
    <d v="2022-03-21T00:00:00"/>
    <n v="-2340"/>
    <n v="-2340"/>
    <s v="DPS GROUP BELGIUM B V               DPS GROUP BELGIUM CYCLE"/>
    <n v="70679000"/>
    <s v="Inschrijvingen cyclus IV - A/B/C"/>
    <x v="41"/>
    <x v="0"/>
  </r>
  <r>
    <n v="10"/>
    <n v="22100062"/>
    <d v="2022-03-24T00:00:00"/>
    <n v="-2340"/>
    <n v="-2340"/>
    <s v="SA DE VENTE TRANE                   2022203"/>
    <n v="70679000"/>
    <s v="Inschrijvingen cyclus IV - A/B/C"/>
    <x v="41"/>
    <x v="0"/>
  </r>
  <r>
    <n v="10"/>
    <n v="22100065"/>
    <d v="2022-03-29T00:00:00"/>
    <n v="-2700"/>
    <n v="-2700"/>
    <s v="NMBS / SNCB                         2022199"/>
    <n v="70679000"/>
    <s v="Inschrijvingen cyclus IV - A/B/C"/>
    <x v="41"/>
    <x v="0"/>
  </r>
  <r>
    <n v="10"/>
    <n v="22100066"/>
    <d v="2022-03-30T00:00:00"/>
    <n v="-2240"/>
    <n v="-2240"/>
    <s v="T. PALM SA                          FACTURE N 2022207"/>
    <n v="70679000"/>
    <s v="Inschrijvingen cyclus IV - A/B/C"/>
    <x v="41"/>
    <x v="0"/>
  </r>
  <r>
    <n v="10"/>
    <n v="22100068"/>
    <d v="2022-04-01T00:00:00"/>
    <n v="-2240"/>
    <n v="-2240"/>
    <s v="SODEXO PASS BELGIUM SA              SPR000020561702571 2022K"/>
    <n v="70679000"/>
    <s v="Inschrijvingen cyclus IV - A/B/C"/>
    <x v="41"/>
    <x v="0"/>
  </r>
  <r>
    <n v="10"/>
    <n v="22100068"/>
    <d v="2022-04-01T00:00:00"/>
    <n v="-2240"/>
    <n v="-2240"/>
    <s v="HOPTIMIZE SRL                       FACTURE 2022190 - FORMAT"/>
    <n v="70679000"/>
    <s v="Inschrijvingen cyclus IV - A/B/C"/>
    <x v="41"/>
    <x v="0"/>
  </r>
  <r>
    <n v="10"/>
    <n v="22100069"/>
    <d v="2022-04-04T00:00:00"/>
    <n v="-2340"/>
    <n v="-2340"/>
    <s v="STADSBESTUUR GENT                   2022206 2340,00 /"/>
    <n v="70679000"/>
    <s v="Inschrijvingen cyclus IV - A/B/C"/>
    <x v="41"/>
    <x v="0"/>
  </r>
  <r>
    <n v="10"/>
    <n v="22100069"/>
    <d v="2022-04-04T00:00:00"/>
    <n v="-2700"/>
    <n v="-2700"/>
    <s v="SODEXO PASS BELGIUM SA              SPR000020574706614 2022K"/>
    <n v="70679000"/>
    <s v="Inschrijvingen cyclus IV - A/B/C"/>
    <x v="41"/>
    <x v="0"/>
  </r>
  <r>
    <n v="10"/>
    <n v="22100086"/>
    <d v="2022-04-26T00:00:00"/>
    <n v="-2340"/>
    <n v="-2340"/>
    <s v="UZ LEUVEN GASTHUISBERG              UW REF : 2022208"/>
    <n v="70679000"/>
    <s v="Inschrijvingen cyclus IV - A/B/C"/>
    <x v="41"/>
    <x v="0"/>
  </r>
  <r>
    <n v="10"/>
    <n v="22100040"/>
    <d v="2022-02-24T00:00:00"/>
    <n v="-900"/>
    <n v="-900"/>
    <s v="NV DENYS                            2022016"/>
    <n v="70679010"/>
    <s v="Inschrijving cyclus Sanitair"/>
    <x v="4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E09DFC-FD90-48DB-98A8-6F7B246702D4}" name="Draaitabel2" cacheId="0" applyNumberFormats="0" applyBorderFormats="0" applyFontFormats="0" applyPatternFormats="0" applyAlignmentFormats="0" applyWidthHeightFormats="1" dataCaption="Waarden" updatedVersion="7" minRefreshableVersion="3" useAutoFormatting="1" itemPrintTitles="1" createdVersion="7" indent="0" outline="1" outlineData="1" multipleFieldFilters="0">
  <location ref="A3:B57" firstHeaderRow="1" firstDataRow="1" firstDataCol="1"/>
  <pivotFields count="10">
    <pivotField showAll="0"/>
    <pivotField showAll="0"/>
    <pivotField numFmtId="14" showAll="0"/>
    <pivotField showAll="0"/>
    <pivotField dataField="1" showAll="0"/>
    <pivotField showAll="0"/>
    <pivotField showAll="0"/>
    <pivotField showAll="0"/>
    <pivotField axis="axisRow" showAll="0">
      <items count="63">
        <item m="1" x="51"/>
        <item m="1" x="56"/>
        <item m="1" x="54"/>
        <item m="1" x="55"/>
        <item m="1" x="44"/>
        <item m="1" x="52"/>
        <item m="1" x="47"/>
        <item m="1" x="53"/>
        <item m="1" x="57"/>
        <item m="1" x="48"/>
        <item m="1" x="61"/>
        <item m="1" x="45"/>
        <item m="1" x="58"/>
        <item m="1" x="59"/>
        <item m="1" x="43"/>
        <item m="1" x="46"/>
        <item m="1" x="60"/>
        <item m="1" x="50"/>
        <item m="1" x="4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Row" showAll="0">
      <items count="10">
        <item x="2"/>
        <item x="7"/>
        <item x="0"/>
        <item x="4"/>
        <item x="3"/>
        <item x="5"/>
        <item x="1"/>
        <item x="6"/>
        <item m="1" x="8"/>
        <item t="default"/>
      </items>
    </pivotField>
  </pivotFields>
  <rowFields count="2">
    <field x="9"/>
    <field x="8"/>
  </rowFields>
  <rowItems count="54">
    <i>
      <x/>
    </i>
    <i r="1">
      <x v="21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3"/>
    </i>
    <i r="1">
      <x v="49"/>
    </i>
    <i r="1">
      <x v="52"/>
    </i>
    <i r="1">
      <x v="53"/>
    </i>
    <i r="1">
      <x v="56"/>
    </i>
    <i r="1">
      <x v="57"/>
    </i>
    <i r="1">
      <x v="58"/>
    </i>
    <i>
      <x v="1"/>
    </i>
    <i r="1">
      <x v="54"/>
    </i>
    <i>
      <x v="2"/>
    </i>
    <i r="1">
      <x v="19"/>
    </i>
    <i r="1">
      <x v="34"/>
    </i>
    <i r="1">
      <x v="42"/>
    </i>
    <i r="1">
      <x v="59"/>
    </i>
    <i r="1">
      <x v="60"/>
    </i>
    <i r="1">
      <x v="61"/>
    </i>
    <i>
      <x v="3"/>
    </i>
    <i r="1">
      <x v="29"/>
    </i>
    <i r="1">
      <x v="55"/>
    </i>
    <i>
      <x v="4"/>
    </i>
    <i r="1">
      <x v="22"/>
    </i>
    <i r="1">
      <x v="44"/>
    </i>
    <i>
      <x v="5"/>
    </i>
    <i r="1">
      <x v="45"/>
    </i>
    <i>
      <x v="6"/>
    </i>
    <i r="1">
      <x v="20"/>
    </i>
    <i>
      <x v="7"/>
    </i>
    <i r="1">
      <x v="46"/>
    </i>
    <i r="1">
      <x v="47"/>
    </i>
    <i r="1">
      <x v="48"/>
    </i>
    <i r="1">
      <x v="49"/>
    </i>
    <i r="1">
      <x v="50"/>
    </i>
    <i r="1">
      <x v="51"/>
    </i>
    <i t="grand">
      <x/>
    </i>
  </rowItems>
  <colItems count="1">
    <i/>
  </colItems>
  <dataFields count="1">
    <dataField name="Som van bedrag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92"/>
  <sheetViews>
    <sheetView tabSelected="1" zoomScale="130" zoomScaleNormal="130" workbookViewId="0">
      <pane ySplit="4" topLeftCell="A53" activePane="bottomLeft" state="frozen"/>
      <selection pane="bottomLeft" activeCell="G21" sqref="G21"/>
    </sheetView>
  </sheetViews>
  <sheetFormatPr defaultRowHeight="13.2" x14ac:dyDescent="0.25"/>
  <cols>
    <col min="1" max="1" width="3.33203125" customWidth="1"/>
    <col min="2" max="2" width="1.5546875" customWidth="1"/>
    <col min="3" max="3" width="45.33203125" customWidth="1"/>
    <col min="4" max="4" width="11.6640625" style="130" customWidth="1"/>
    <col min="5" max="5" width="11.6640625" customWidth="1"/>
    <col min="6" max="6" width="13" customWidth="1"/>
    <col min="7" max="9" width="11.6640625" customWidth="1"/>
    <col min="10" max="10" width="13" customWidth="1"/>
    <col min="11" max="16" width="11.6640625" customWidth="1"/>
    <col min="17" max="17" width="11.33203125" bestFit="1" customWidth="1"/>
    <col min="18" max="18" width="12.33203125" bestFit="1" customWidth="1"/>
    <col min="19" max="19" width="10.6640625" customWidth="1"/>
    <col min="20" max="20" width="12.33203125" bestFit="1" customWidth="1"/>
    <col min="21" max="24" width="11.6640625" hidden="1" customWidth="1"/>
    <col min="25" max="25" width="14.109375" style="44" hidden="1" customWidth="1"/>
    <col min="26" max="26" width="11.6640625" style="44" hidden="1" customWidth="1"/>
    <col min="27" max="29" width="11.6640625" hidden="1" customWidth="1"/>
    <col min="30" max="30" width="11.33203125" hidden="1" customWidth="1"/>
    <col min="31" max="31" width="12.33203125" hidden="1" customWidth="1"/>
    <col min="32" max="32" width="10.6640625" hidden="1" customWidth="1"/>
    <col min="33" max="33" width="12.33203125" hidden="1" customWidth="1"/>
    <col min="34" max="34" width="6.33203125" hidden="1" customWidth="1"/>
    <col min="35" max="35" width="10.6640625" hidden="1" customWidth="1"/>
    <col min="36" max="36" width="12.33203125" hidden="1" customWidth="1"/>
    <col min="37" max="37" width="9.6640625" hidden="1" customWidth="1"/>
    <col min="38" max="38" width="10.6640625" hidden="1" customWidth="1"/>
    <col min="39" max="39" width="12.33203125" hidden="1" customWidth="1"/>
    <col min="40" max="40" width="10.33203125" hidden="1" customWidth="1"/>
    <col min="41" max="41" width="0.109375" hidden="1" customWidth="1"/>
    <col min="42" max="42" width="10.6640625" bestFit="1" customWidth="1"/>
    <col min="43" max="43" width="12.6640625" bestFit="1" customWidth="1"/>
    <col min="44" max="44" width="38.88671875" bestFit="1" customWidth="1"/>
    <col min="45" max="45" width="10.6640625" bestFit="1" customWidth="1"/>
    <col min="46" max="51" width="9.109375" customWidth="1"/>
  </cols>
  <sheetData>
    <row r="1" spans="1:51" x14ac:dyDescent="0.25">
      <c r="D1" s="32"/>
      <c r="E1" s="158" t="s">
        <v>737</v>
      </c>
      <c r="F1" s="159"/>
      <c r="G1" s="160" t="s">
        <v>735</v>
      </c>
      <c r="H1" s="160"/>
      <c r="I1" s="158" t="s">
        <v>736</v>
      </c>
      <c r="J1" s="159"/>
      <c r="K1" s="160" t="s">
        <v>733</v>
      </c>
      <c r="L1" s="160"/>
      <c r="M1" s="158" t="s">
        <v>727</v>
      </c>
      <c r="N1" s="159"/>
      <c r="O1" s="168" t="s">
        <v>728</v>
      </c>
      <c r="P1" s="168"/>
      <c r="Q1" s="167" t="s">
        <v>191</v>
      </c>
      <c r="R1" s="159"/>
      <c r="S1" s="101" t="s">
        <v>192</v>
      </c>
      <c r="T1" s="101"/>
      <c r="U1" s="158" t="s">
        <v>184</v>
      </c>
      <c r="V1" s="159"/>
      <c r="W1" s="168" t="s">
        <v>178</v>
      </c>
      <c r="X1" s="168"/>
      <c r="Y1" s="170" t="s">
        <v>170</v>
      </c>
      <c r="Z1" s="176"/>
      <c r="AA1" s="174" t="s">
        <v>161</v>
      </c>
      <c r="AB1" s="175"/>
      <c r="AC1" s="175"/>
      <c r="AD1" s="167" t="s">
        <v>160</v>
      </c>
      <c r="AE1" s="159"/>
      <c r="AF1" s="165" t="s">
        <v>151</v>
      </c>
      <c r="AG1" s="166"/>
      <c r="AH1" s="166"/>
      <c r="AI1" s="163" t="s">
        <v>139</v>
      </c>
      <c r="AJ1" s="164"/>
      <c r="AK1" s="164"/>
      <c r="AL1" s="171" t="s">
        <v>144</v>
      </c>
      <c r="AM1" s="172"/>
      <c r="AN1" s="173"/>
      <c r="AO1" s="27"/>
    </row>
    <row r="2" spans="1:51" x14ac:dyDescent="0.25">
      <c r="D2" s="32"/>
      <c r="E2" s="161"/>
      <c r="F2" s="162"/>
      <c r="G2" s="66"/>
      <c r="H2" s="67"/>
      <c r="I2" s="161"/>
      <c r="J2" s="162"/>
      <c r="K2" s="66"/>
      <c r="L2" s="67"/>
      <c r="M2" s="161"/>
      <c r="N2" s="162"/>
      <c r="O2" s="66"/>
      <c r="P2" s="67"/>
      <c r="Q2" s="161"/>
      <c r="R2" s="162"/>
      <c r="S2" s="66"/>
      <c r="T2" s="67"/>
      <c r="U2" s="170"/>
      <c r="V2" s="170"/>
      <c r="W2" s="52"/>
      <c r="X2" s="53"/>
      <c r="Y2" s="169" t="s">
        <v>173</v>
      </c>
      <c r="Z2" s="169"/>
      <c r="AA2" s="52"/>
      <c r="AB2" s="53"/>
      <c r="AC2" s="53"/>
      <c r="AD2" s="64"/>
      <c r="AE2" s="65"/>
      <c r="AF2" s="66"/>
      <c r="AG2" s="67"/>
      <c r="AH2" s="67"/>
      <c r="AI2" s="62"/>
      <c r="AJ2" s="63"/>
      <c r="AK2" s="63"/>
      <c r="AL2" s="56"/>
      <c r="AM2" s="57"/>
      <c r="AN2" s="58"/>
      <c r="AO2" s="58"/>
    </row>
    <row r="3" spans="1:51" x14ac:dyDescent="0.25">
      <c r="A3" s="1"/>
      <c r="B3" s="1"/>
      <c r="C3" s="1" t="s">
        <v>122</v>
      </c>
      <c r="D3" s="148" t="s">
        <v>155</v>
      </c>
      <c r="E3" s="68" t="s">
        <v>140</v>
      </c>
      <c r="F3" s="68" t="s">
        <v>141</v>
      </c>
      <c r="G3" s="69" t="s">
        <v>140</v>
      </c>
      <c r="H3" s="69" t="s">
        <v>141</v>
      </c>
      <c r="I3" s="68" t="s">
        <v>140</v>
      </c>
      <c r="J3" s="68" t="s">
        <v>141</v>
      </c>
      <c r="K3" s="69" t="s">
        <v>140</v>
      </c>
      <c r="L3" s="69" t="s">
        <v>141</v>
      </c>
      <c r="M3" s="68" t="s">
        <v>140</v>
      </c>
      <c r="N3" s="68" t="s">
        <v>141</v>
      </c>
      <c r="O3" s="69" t="s">
        <v>140</v>
      </c>
      <c r="P3" s="69" t="s">
        <v>141</v>
      </c>
      <c r="Q3" s="68" t="s">
        <v>140</v>
      </c>
      <c r="R3" s="68" t="s">
        <v>141</v>
      </c>
      <c r="S3" s="69" t="s">
        <v>140</v>
      </c>
      <c r="T3" s="69" t="s">
        <v>141</v>
      </c>
      <c r="U3" s="38" t="s">
        <v>140</v>
      </c>
      <c r="V3" s="38" t="s">
        <v>141</v>
      </c>
      <c r="W3" s="36" t="s">
        <v>140</v>
      </c>
      <c r="X3" s="36" t="s">
        <v>141</v>
      </c>
      <c r="Y3" s="38" t="s">
        <v>140</v>
      </c>
      <c r="Z3" s="38" t="s">
        <v>141</v>
      </c>
      <c r="AA3" s="36" t="s">
        <v>140</v>
      </c>
      <c r="AB3" s="36" t="s">
        <v>141</v>
      </c>
      <c r="AC3" s="37" t="s">
        <v>153</v>
      </c>
      <c r="AD3" s="68" t="s">
        <v>140</v>
      </c>
      <c r="AE3" s="68" t="s">
        <v>141</v>
      </c>
      <c r="AF3" s="69" t="s">
        <v>140</v>
      </c>
      <c r="AG3" s="69" t="s">
        <v>141</v>
      </c>
      <c r="AH3" s="70" t="s">
        <v>153</v>
      </c>
      <c r="AI3" s="71" t="s">
        <v>140</v>
      </c>
      <c r="AJ3" s="71" t="s">
        <v>141</v>
      </c>
      <c r="AK3" s="72" t="s">
        <v>153</v>
      </c>
      <c r="AL3" s="5" t="s">
        <v>140</v>
      </c>
      <c r="AM3" s="5" t="s">
        <v>141</v>
      </c>
      <c r="AN3" s="17" t="s">
        <v>153</v>
      </c>
      <c r="AO3" s="17" t="s">
        <v>153</v>
      </c>
    </row>
    <row r="4" spans="1:51" x14ac:dyDescent="0.25">
      <c r="A4" s="1"/>
      <c r="B4" s="1"/>
      <c r="C4" s="1"/>
      <c r="D4" s="149"/>
      <c r="E4" s="73"/>
      <c r="F4" s="73"/>
      <c r="G4" s="74"/>
      <c r="H4" s="74"/>
      <c r="I4" s="73"/>
      <c r="J4" s="73"/>
      <c r="K4" s="74"/>
      <c r="L4" s="74"/>
      <c r="M4" s="73"/>
      <c r="N4" s="73"/>
      <c r="O4" s="74"/>
      <c r="P4" s="74"/>
      <c r="Q4" s="73"/>
      <c r="R4" s="73"/>
      <c r="S4" s="74"/>
      <c r="T4" s="74"/>
      <c r="U4" s="99"/>
      <c r="V4" s="99"/>
      <c r="W4" s="30"/>
      <c r="X4" s="30"/>
      <c r="Y4" s="39"/>
      <c r="Z4" s="39"/>
      <c r="AA4" s="30"/>
      <c r="AB4" s="30"/>
      <c r="AC4" s="29"/>
      <c r="AD4" s="73"/>
      <c r="AE4" s="73"/>
      <c r="AF4" s="74"/>
      <c r="AG4" s="74"/>
      <c r="AH4" s="75"/>
      <c r="AI4" s="76"/>
      <c r="AJ4" s="76"/>
      <c r="AK4" s="77"/>
      <c r="AL4" s="5"/>
      <c r="AM4" s="5"/>
      <c r="AN4" s="17"/>
      <c r="AO4" s="17"/>
    </row>
    <row r="5" spans="1:51" x14ac:dyDescent="0.25">
      <c r="A5" s="3" t="s">
        <v>116</v>
      </c>
      <c r="B5" s="14" t="s">
        <v>14</v>
      </c>
      <c r="C5" s="14"/>
      <c r="D5" s="150"/>
      <c r="E5" s="78">
        <f t="shared" ref="E5:H5" si="0">SUM(E7:E42)</f>
        <v>0</v>
      </c>
      <c r="F5" s="78">
        <f t="shared" si="0"/>
        <v>0</v>
      </c>
      <c r="G5" s="79">
        <f t="shared" si="0"/>
        <v>38160</v>
      </c>
      <c r="H5" s="79">
        <f t="shared" si="0"/>
        <v>48750</v>
      </c>
      <c r="I5" s="78">
        <f t="shared" ref="I5:L5" si="1">SUM(I7:I42)</f>
        <v>35648.47</v>
      </c>
      <c r="J5" s="78">
        <f>SUM(J7:J42)</f>
        <v>49102</v>
      </c>
      <c r="K5" s="79">
        <f t="shared" si="1"/>
        <v>29740</v>
      </c>
      <c r="L5" s="79">
        <f t="shared" si="1"/>
        <v>56000</v>
      </c>
      <c r="M5" s="78">
        <f t="shared" ref="M5:T5" si="2">SUM(M7:M42)</f>
        <v>29919.480000000003</v>
      </c>
      <c r="N5" s="78">
        <f t="shared" si="2"/>
        <v>58075</v>
      </c>
      <c r="O5" s="79">
        <f t="shared" si="2"/>
        <v>31060</v>
      </c>
      <c r="P5" s="79">
        <f t="shared" si="2"/>
        <v>54000</v>
      </c>
      <c r="Q5" s="78">
        <f t="shared" si="2"/>
        <v>26055.090000000007</v>
      </c>
      <c r="R5" s="78">
        <f t="shared" si="2"/>
        <v>51733</v>
      </c>
      <c r="S5" s="79">
        <f t="shared" si="2"/>
        <v>25230</v>
      </c>
      <c r="T5" s="79">
        <f t="shared" si="2"/>
        <v>54400</v>
      </c>
      <c r="U5" s="45">
        <f t="shared" ref="U5:AB5" si="3">SUM(U7:U42)</f>
        <v>23360.52</v>
      </c>
      <c r="V5" s="45">
        <f t="shared" si="3"/>
        <v>51981</v>
      </c>
      <c r="W5" s="31">
        <f t="shared" si="3"/>
        <v>24988.06</v>
      </c>
      <c r="X5" s="31">
        <f t="shared" si="3"/>
        <v>50650</v>
      </c>
      <c r="Y5" s="50">
        <f t="shared" si="3"/>
        <v>31944.449999999997</v>
      </c>
      <c r="Z5" s="50">
        <f t="shared" si="3"/>
        <v>52180</v>
      </c>
      <c r="AA5" s="31">
        <f t="shared" si="3"/>
        <v>37830</v>
      </c>
      <c r="AB5" s="31">
        <f t="shared" si="3"/>
        <v>55000</v>
      </c>
      <c r="AC5" s="31"/>
      <c r="AD5" s="78">
        <f>SUM(AD7:AD42)</f>
        <v>44044.180000000008</v>
      </c>
      <c r="AE5" s="78">
        <f>SUM(AE7:AE42)</f>
        <v>57372</v>
      </c>
      <c r="AF5" s="79">
        <v>27295</v>
      </c>
      <c r="AG5" s="79">
        <f>SUM(AG7:AG42)</f>
        <v>52000</v>
      </c>
      <c r="AH5" s="79"/>
      <c r="AI5" s="80">
        <f>SUM(AI7:AI42)</f>
        <v>40506.82</v>
      </c>
      <c r="AJ5" s="80">
        <f>SUM(AJ7:AJ42)</f>
        <v>53394.25</v>
      </c>
      <c r="AK5" s="80">
        <f>AJ5-AI5</f>
        <v>12887.43</v>
      </c>
      <c r="AL5" s="26">
        <f>SUM(AL7:AL42)</f>
        <v>25157.510000000002</v>
      </c>
      <c r="AM5" s="7">
        <f>SUM(AM7:AM42)</f>
        <v>52847.679999999993</v>
      </c>
      <c r="AN5" s="12">
        <f>SUM(AN7:AN42)</f>
        <v>-27690.17</v>
      </c>
      <c r="AO5" s="6" t="e">
        <f>SUM(AO7:AO42)</f>
        <v>#REF!</v>
      </c>
      <c r="AP5" s="113"/>
    </row>
    <row r="6" spans="1:51" x14ac:dyDescent="0.25">
      <c r="A6" s="4"/>
      <c r="B6" s="4"/>
      <c r="C6" s="4"/>
      <c r="D6" s="151"/>
      <c r="E6" s="78"/>
      <c r="F6" s="78">
        <f>F5-E5</f>
        <v>0</v>
      </c>
      <c r="G6" s="79"/>
      <c r="H6" s="79">
        <f>H5-G5</f>
        <v>10590</v>
      </c>
      <c r="I6" s="78"/>
      <c r="J6" s="78">
        <f>J5-I5</f>
        <v>13453.529999999999</v>
      </c>
      <c r="K6" s="79"/>
      <c r="L6" s="79">
        <f>L5-K5</f>
        <v>26260</v>
      </c>
      <c r="M6" s="78"/>
      <c r="N6" s="78">
        <f>N5-M5</f>
        <v>28155.519999999997</v>
      </c>
      <c r="O6" s="79"/>
      <c r="P6" s="79">
        <f>P5-O5</f>
        <v>22940</v>
      </c>
      <c r="Q6" s="78"/>
      <c r="R6" s="78">
        <f>R5-Q5</f>
        <v>25677.909999999993</v>
      </c>
      <c r="S6" s="79"/>
      <c r="T6" s="79">
        <f>T5-S5</f>
        <v>29170</v>
      </c>
      <c r="U6" s="45"/>
      <c r="V6" s="45">
        <f>V5-U5</f>
        <v>28620.48</v>
      </c>
      <c r="W6" s="31"/>
      <c r="X6" s="31">
        <f>X5-W5</f>
        <v>25661.94</v>
      </c>
      <c r="Y6" s="41"/>
      <c r="Z6" s="51">
        <f>Z5-Y5</f>
        <v>20235.550000000003</v>
      </c>
      <c r="AA6" s="31"/>
      <c r="AB6" s="31">
        <f>AB5-AA5</f>
        <v>17170</v>
      </c>
      <c r="AC6" s="31"/>
      <c r="AD6" s="78"/>
      <c r="AE6" s="78">
        <f>AE5-AD5</f>
        <v>13327.819999999992</v>
      </c>
      <c r="AF6" s="79"/>
      <c r="AG6" s="79">
        <f>AG5-AF5</f>
        <v>24705</v>
      </c>
      <c r="AH6" s="79"/>
      <c r="AI6" s="80"/>
      <c r="AJ6" s="80">
        <f>AJ5-AI5</f>
        <v>12887.43</v>
      </c>
      <c r="AK6" s="80"/>
      <c r="AL6" s="28"/>
      <c r="AM6" s="9">
        <f>AM5-AL5</f>
        <v>27690.169999999991</v>
      </c>
      <c r="AN6" s="21"/>
      <c r="AO6" s="8"/>
      <c r="AP6" s="54"/>
      <c r="AQ6" s="61"/>
    </row>
    <row r="7" spans="1:51" x14ac:dyDescent="0.25">
      <c r="C7" t="s">
        <v>97</v>
      </c>
      <c r="D7" s="145" t="s">
        <v>28</v>
      </c>
      <c r="E7" s="81"/>
      <c r="F7" s="81"/>
      <c r="G7" s="82">
        <v>2500</v>
      </c>
      <c r="H7" s="82"/>
      <c r="I7" s="81">
        <v>610.34</v>
      </c>
      <c r="J7" s="81"/>
      <c r="K7" s="82">
        <v>2500</v>
      </c>
      <c r="L7" s="82"/>
      <c r="M7" s="81">
        <v>2433.06</v>
      </c>
      <c r="N7" s="81"/>
      <c r="O7" s="82">
        <v>1500</v>
      </c>
      <c r="P7" s="82"/>
      <c r="Q7" s="81">
        <v>3411.24</v>
      </c>
      <c r="R7" s="81"/>
      <c r="S7" s="82">
        <v>990</v>
      </c>
      <c r="T7" s="82"/>
      <c r="U7" s="46">
        <v>981.67</v>
      </c>
      <c r="V7" s="46"/>
      <c r="W7" s="33">
        <v>855</v>
      </c>
      <c r="X7" s="33">
        <v>0</v>
      </c>
      <c r="Y7" s="47">
        <v>853.3</v>
      </c>
      <c r="Z7" s="47">
        <v>0</v>
      </c>
      <c r="AA7" s="33">
        <v>1100</v>
      </c>
      <c r="AB7" s="33">
        <v>0</v>
      </c>
      <c r="AC7" s="33"/>
      <c r="AD7" s="81">
        <v>1536.38</v>
      </c>
      <c r="AE7" s="81">
        <v>0</v>
      </c>
      <c r="AF7" s="82">
        <v>630</v>
      </c>
      <c r="AG7" s="82">
        <v>0</v>
      </c>
      <c r="AH7" s="82"/>
      <c r="AI7" s="34">
        <v>620.62</v>
      </c>
      <c r="AJ7" s="34">
        <v>0</v>
      </c>
      <c r="AK7" s="34">
        <v>620.62</v>
      </c>
      <c r="AL7" s="10">
        <f>2850.6+186.91</f>
        <v>3037.5099999999998</v>
      </c>
      <c r="AM7" s="10">
        <v>0</v>
      </c>
      <c r="AN7" s="18">
        <f>AL7-AM7</f>
        <v>3037.5099999999998</v>
      </c>
      <c r="AO7" s="18" t="e">
        <f>#REF!-#REF!</f>
        <v>#REF!</v>
      </c>
      <c r="AY7" t="s">
        <v>157</v>
      </c>
    </row>
    <row r="8" spans="1:51" x14ac:dyDescent="0.25">
      <c r="C8" t="s">
        <v>90</v>
      </c>
      <c r="D8" s="145" t="s">
        <v>10</v>
      </c>
      <c r="E8" s="81"/>
      <c r="F8" s="81"/>
      <c r="G8" s="82">
        <v>3150</v>
      </c>
      <c r="H8" s="82"/>
      <c r="I8" s="81">
        <v>2874.93</v>
      </c>
      <c r="J8" s="81"/>
      <c r="K8" s="82">
        <v>2650</v>
      </c>
      <c r="L8" s="82"/>
      <c r="M8" s="81">
        <v>2656.37</v>
      </c>
      <c r="N8" s="81"/>
      <c r="O8" s="82">
        <v>2500</v>
      </c>
      <c r="P8" s="82"/>
      <c r="Q8" s="81">
        <v>2622.24</v>
      </c>
      <c r="R8" s="81"/>
      <c r="S8" s="82">
        <v>2100</v>
      </c>
      <c r="T8" s="82"/>
      <c r="U8" s="46">
        <v>2082.5700000000002</v>
      </c>
      <c r="V8" s="46"/>
      <c r="W8" s="33">
        <v>1750</v>
      </c>
      <c r="X8" s="33">
        <v>0</v>
      </c>
      <c r="Y8" s="47">
        <v>1511.67</v>
      </c>
      <c r="Z8" s="47">
        <v>0</v>
      </c>
      <c r="AA8" s="33">
        <v>2500</v>
      </c>
      <c r="AB8" s="33">
        <v>0</v>
      </c>
      <c r="AC8" s="33"/>
      <c r="AD8" s="81">
        <v>2375.79</v>
      </c>
      <c r="AE8" s="81">
        <v>0</v>
      </c>
      <c r="AF8" s="82">
        <v>2750</v>
      </c>
      <c r="AG8" s="82">
        <v>0</v>
      </c>
      <c r="AH8" s="82"/>
      <c r="AI8" s="34">
        <v>2706.42</v>
      </c>
      <c r="AJ8" s="34">
        <v>0</v>
      </c>
      <c r="AK8" s="34">
        <v>2706.42</v>
      </c>
      <c r="AL8" s="10">
        <v>2053.21</v>
      </c>
      <c r="AM8" s="10">
        <v>0</v>
      </c>
      <c r="AN8" s="18">
        <f t="shared" ref="AN8:AN42" si="4">AL8-AM8</f>
        <v>2053.21</v>
      </c>
      <c r="AO8" s="18" t="e">
        <f>#REF!-#REF!</f>
        <v>#REF!</v>
      </c>
      <c r="AP8" s="61"/>
    </row>
    <row r="9" spans="1:51" x14ac:dyDescent="0.25">
      <c r="C9" t="s">
        <v>726</v>
      </c>
      <c r="D9" s="145">
        <v>6103500</v>
      </c>
      <c r="E9" s="81"/>
      <c r="F9" s="81"/>
      <c r="G9" s="82"/>
      <c r="H9" s="82"/>
      <c r="I9" s="81"/>
      <c r="J9" s="81"/>
      <c r="K9" s="82"/>
      <c r="L9" s="82"/>
      <c r="M9" s="81"/>
      <c r="N9" s="81"/>
      <c r="O9" s="82"/>
      <c r="P9" s="82"/>
      <c r="Q9" s="81"/>
      <c r="R9" s="81"/>
      <c r="S9" s="82"/>
      <c r="T9" s="82"/>
      <c r="U9" s="46">
        <v>0</v>
      </c>
      <c r="V9" s="46"/>
      <c r="W9" s="33">
        <v>0</v>
      </c>
      <c r="X9" s="33">
        <v>0</v>
      </c>
      <c r="Y9" s="47">
        <v>0</v>
      </c>
      <c r="Z9" s="47">
        <v>0</v>
      </c>
      <c r="AA9" s="33">
        <v>0</v>
      </c>
      <c r="AB9" s="33">
        <v>0</v>
      </c>
      <c r="AC9" s="33"/>
      <c r="AD9" s="81">
        <v>0</v>
      </c>
      <c r="AE9" s="81">
        <v>0</v>
      </c>
      <c r="AF9" s="82">
        <v>40</v>
      </c>
      <c r="AG9" s="82">
        <v>0</v>
      </c>
      <c r="AH9" s="82"/>
      <c r="AI9" s="34">
        <v>246.31</v>
      </c>
      <c r="AJ9" s="34">
        <v>0</v>
      </c>
      <c r="AK9" s="34">
        <v>246.31</v>
      </c>
      <c r="AL9" s="10">
        <v>39.71</v>
      </c>
      <c r="AM9" s="10">
        <v>0</v>
      </c>
      <c r="AN9" s="18">
        <f t="shared" si="4"/>
        <v>39.71</v>
      </c>
      <c r="AO9" s="18" t="e">
        <f>#REF!-#REF!</f>
        <v>#REF!</v>
      </c>
    </row>
    <row r="10" spans="1:51" x14ac:dyDescent="0.25">
      <c r="C10" t="s">
        <v>162</v>
      </c>
      <c r="D10" s="145" t="s">
        <v>105</v>
      </c>
      <c r="E10" s="81"/>
      <c r="F10" s="81"/>
      <c r="G10" s="82">
        <v>2500</v>
      </c>
      <c r="H10" s="82"/>
      <c r="I10" s="81"/>
      <c r="J10" s="81"/>
      <c r="K10" s="82"/>
      <c r="L10" s="82"/>
      <c r="M10" s="81"/>
      <c r="N10" s="81"/>
      <c r="O10" s="82"/>
      <c r="P10" s="82"/>
      <c r="Q10" s="81"/>
      <c r="R10" s="81"/>
      <c r="S10" s="82"/>
      <c r="T10" s="82"/>
      <c r="U10" s="46">
        <v>0</v>
      </c>
      <c r="V10" s="46"/>
      <c r="W10" s="33">
        <v>0</v>
      </c>
      <c r="X10" s="33">
        <v>0</v>
      </c>
      <c r="Y10" s="47">
        <v>0</v>
      </c>
      <c r="Z10" s="47">
        <v>0</v>
      </c>
      <c r="AA10" s="33">
        <v>3000</v>
      </c>
      <c r="AB10" s="33">
        <v>0</v>
      </c>
      <c r="AC10" s="33"/>
      <c r="AD10" s="81">
        <v>3348.28</v>
      </c>
      <c r="AE10" s="81">
        <v>0</v>
      </c>
      <c r="AF10" s="82">
        <v>500</v>
      </c>
      <c r="AG10" s="82">
        <v>0</v>
      </c>
      <c r="AH10" s="82"/>
      <c r="AI10" s="34">
        <v>2774.28</v>
      </c>
      <c r="AJ10" s="34">
        <v>0</v>
      </c>
      <c r="AK10" s="34">
        <v>2774.28</v>
      </c>
      <c r="AL10" s="10">
        <v>461.26</v>
      </c>
      <c r="AM10" s="10">
        <v>0</v>
      </c>
      <c r="AN10" s="18">
        <f t="shared" si="4"/>
        <v>461.26</v>
      </c>
      <c r="AO10" s="18" t="e">
        <f>#REF!-#REF!</f>
        <v>#REF!</v>
      </c>
    </row>
    <row r="11" spans="1:51" x14ac:dyDescent="0.25">
      <c r="C11" t="s">
        <v>163</v>
      </c>
      <c r="D11" s="145" t="s">
        <v>89</v>
      </c>
      <c r="E11" s="81"/>
      <c r="F11" s="81"/>
      <c r="G11" s="82"/>
      <c r="H11" s="82"/>
      <c r="I11" s="81"/>
      <c r="J11" s="81"/>
      <c r="K11" s="82"/>
      <c r="L11" s="82"/>
      <c r="M11" s="81"/>
      <c r="N11" s="81"/>
      <c r="O11" s="82"/>
      <c r="P11" s="82"/>
      <c r="Q11" s="81"/>
      <c r="R11" s="81"/>
      <c r="S11" s="82"/>
      <c r="T11" s="82"/>
      <c r="U11" s="46">
        <v>0</v>
      </c>
      <c r="V11" s="46"/>
      <c r="W11" s="33">
        <v>0</v>
      </c>
      <c r="X11" s="33">
        <v>0</v>
      </c>
      <c r="Y11" s="47">
        <v>0</v>
      </c>
      <c r="Z11" s="47">
        <v>0</v>
      </c>
      <c r="AA11" s="33">
        <v>700</v>
      </c>
      <c r="AB11" s="33">
        <v>0</v>
      </c>
      <c r="AC11" s="33"/>
      <c r="AD11" s="81">
        <v>608.22</v>
      </c>
      <c r="AE11" s="81">
        <v>0</v>
      </c>
      <c r="AF11" s="82">
        <v>500</v>
      </c>
      <c r="AG11" s="82">
        <v>0</v>
      </c>
      <c r="AH11" s="82"/>
      <c r="AI11" s="34">
        <v>0</v>
      </c>
      <c r="AJ11" s="34">
        <v>0</v>
      </c>
      <c r="AK11" s="34">
        <v>0</v>
      </c>
      <c r="AL11" s="10">
        <v>598.95000000000005</v>
      </c>
      <c r="AM11" s="10">
        <v>0</v>
      </c>
      <c r="AN11" s="18">
        <f t="shared" si="4"/>
        <v>598.95000000000005</v>
      </c>
      <c r="AO11" s="18" t="e">
        <f>#REF!-#REF!</f>
        <v>#REF!</v>
      </c>
    </row>
    <row r="12" spans="1:51" x14ac:dyDescent="0.25">
      <c r="C12" s="103" t="s">
        <v>6</v>
      </c>
      <c r="D12" s="145" t="s">
        <v>82</v>
      </c>
      <c r="E12" s="81"/>
      <c r="F12" s="81"/>
      <c r="G12" s="82">
        <v>850</v>
      </c>
      <c r="H12" s="82"/>
      <c r="I12" s="81">
        <v>703.12</v>
      </c>
      <c r="J12" s="81"/>
      <c r="K12" s="82">
        <v>700</v>
      </c>
      <c r="L12" s="82"/>
      <c r="M12" s="81">
        <v>679.3</v>
      </c>
      <c r="N12" s="81"/>
      <c r="O12" s="82">
        <v>1000</v>
      </c>
      <c r="P12" s="82"/>
      <c r="Q12" s="81">
        <v>1182.03</v>
      </c>
      <c r="R12" s="81"/>
      <c r="S12" s="82">
        <v>400</v>
      </c>
      <c r="T12" s="82"/>
      <c r="U12" s="46">
        <v>375.19</v>
      </c>
      <c r="V12" s="46"/>
      <c r="W12" s="33">
        <v>200</v>
      </c>
      <c r="X12" s="33">
        <v>0</v>
      </c>
      <c r="Y12" s="47">
        <v>272.07</v>
      </c>
      <c r="Z12" s="47">
        <v>0</v>
      </c>
      <c r="AA12" s="33">
        <v>0</v>
      </c>
      <c r="AB12" s="33">
        <v>0</v>
      </c>
      <c r="AC12" s="33"/>
      <c r="AD12" s="81">
        <v>-15.46</v>
      </c>
      <c r="AE12" s="81">
        <v>0</v>
      </c>
      <c r="AF12" s="82">
        <v>0</v>
      </c>
      <c r="AG12" s="82">
        <v>0</v>
      </c>
      <c r="AH12" s="82"/>
      <c r="AI12" s="34">
        <v>190.4</v>
      </c>
      <c r="AJ12" s="34">
        <v>0</v>
      </c>
      <c r="AK12" s="34">
        <v>190.4</v>
      </c>
      <c r="AL12" s="10">
        <v>0</v>
      </c>
      <c r="AM12" s="10">
        <v>0</v>
      </c>
      <c r="AN12" s="18">
        <f t="shared" si="4"/>
        <v>0</v>
      </c>
      <c r="AO12" s="18" t="e">
        <f>#REF!-#REF!</f>
        <v>#REF!</v>
      </c>
    </row>
    <row r="13" spans="1:51" x14ac:dyDescent="0.25">
      <c r="C13" t="s">
        <v>29</v>
      </c>
      <c r="D13" s="145" t="s">
        <v>75</v>
      </c>
      <c r="E13" s="81"/>
      <c r="F13" s="81"/>
      <c r="G13" s="82">
        <v>2500</v>
      </c>
      <c r="H13" s="82"/>
      <c r="I13" s="81">
        <v>2552.8200000000002</v>
      </c>
      <c r="J13" s="81"/>
      <c r="K13" s="82">
        <v>2500</v>
      </c>
      <c r="L13" s="82"/>
      <c r="M13" s="81">
        <v>2962.21</v>
      </c>
      <c r="N13" s="81"/>
      <c r="O13" s="82">
        <v>1400</v>
      </c>
      <c r="P13" s="82"/>
      <c r="Q13" s="81">
        <v>1360.55</v>
      </c>
      <c r="R13" s="81"/>
      <c r="S13" s="82">
        <v>1800</v>
      </c>
      <c r="T13" s="82"/>
      <c r="U13" s="46">
        <v>1754.68</v>
      </c>
      <c r="V13" s="46"/>
      <c r="W13" s="33">
        <f>850</f>
        <v>850</v>
      </c>
      <c r="X13" s="33">
        <v>0</v>
      </c>
      <c r="Y13" s="47">
        <v>1145.75</v>
      </c>
      <c r="Z13" s="47">
        <v>0</v>
      </c>
      <c r="AA13" s="33">
        <v>600</v>
      </c>
      <c r="AB13" s="33">
        <v>0</v>
      </c>
      <c r="AC13" s="33"/>
      <c r="AD13" s="81">
        <v>532.21</v>
      </c>
      <c r="AE13" s="81">
        <v>0</v>
      </c>
      <c r="AF13" s="82">
        <v>1600</v>
      </c>
      <c r="AG13" s="82">
        <v>0</v>
      </c>
      <c r="AH13" s="82"/>
      <c r="AI13" s="34">
        <v>2570.8000000000002</v>
      </c>
      <c r="AJ13" s="34">
        <v>0</v>
      </c>
      <c r="AK13" s="34">
        <v>2570.8000000000002</v>
      </c>
      <c r="AL13" s="10">
        <v>2832.88</v>
      </c>
      <c r="AM13" s="10">
        <v>0</v>
      </c>
      <c r="AN13" s="18">
        <f t="shared" si="4"/>
        <v>2832.88</v>
      </c>
      <c r="AO13" s="18" t="e">
        <f>#REF!-#REF!</f>
        <v>#REF!</v>
      </c>
    </row>
    <row r="14" spans="1:51" x14ac:dyDescent="0.25">
      <c r="C14" t="s">
        <v>169</v>
      </c>
      <c r="D14" s="145" t="s">
        <v>65</v>
      </c>
      <c r="E14" s="81"/>
      <c r="F14" s="81"/>
      <c r="G14" s="82"/>
      <c r="H14" s="82"/>
      <c r="I14" s="81"/>
      <c r="J14" s="81"/>
      <c r="K14" s="82"/>
      <c r="L14" s="82"/>
      <c r="M14" s="81"/>
      <c r="N14" s="81"/>
      <c r="O14" s="82"/>
      <c r="P14" s="82"/>
      <c r="Q14" s="81"/>
      <c r="R14" s="81"/>
      <c r="S14" s="82"/>
      <c r="T14" s="82"/>
      <c r="U14" s="46">
        <v>0</v>
      </c>
      <c r="V14" s="46"/>
      <c r="W14" s="33">
        <v>0</v>
      </c>
      <c r="X14" s="33">
        <v>0</v>
      </c>
      <c r="Y14" s="47">
        <v>0</v>
      </c>
      <c r="Z14" s="47">
        <v>0</v>
      </c>
      <c r="AA14" s="33">
        <v>650</v>
      </c>
      <c r="AB14" s="33">
        <v>0</v>
      </c>
      <c r="AC14" s="33"/>
      <c r="AD14" s="81">
        <v>665.5</v>
      </c>
      <c r="AE14" s="81">
        <v>0</v>
      </c>
      <c r="AF14" s="82">
        <v>1000</v>
      </c>
      <c r="AG14" s="82">
        <v>0</v>
      </c>
      <c r="AH14" s="82"/>
      <c r="AI14" s="34">
        <v>3569.5</v>
      </c>
      <c r="AJ14" s="34">
        <v>0</v>
      </c>
      <c r="AK14" s="34">
        <v>3569.5</v>
      </c>
      <c r="AL14" s="10">
        <v>0</v>
      </c>
      <c r="AM14" s="10">
        <v>0</v>
      </c>
      <c r="AN14" s="18">
        <f t="shared" si="4"/>
        <v>0</v>
      </c>
      <c r="AO14" s="18" t="e">
        <f>#REF!-#REF!</f>
        <v>#REF!</v>
      </c>
    </row>
    <row r="15" spans="1:51" x14ac:dyDescent="0.25">
      <c r="C15" t="s">
        <v>168</v>
      </c>
      <c r="D15" s="145" t="s">
        <v>60</v>
      </c>
      <c r="E15" s="81"/>
      <c r="F15" s="81"/>
      <c r="G15" s="82">
        <v>1600</v>
      </c>
      <c r="H15" s="82"/>
      <c r="I15" s="81">
        <v>1473.66</v>
      </c>
      <c r="J15" s="81"/>
      <c r="K15" s="82">
        <v>1600</v>
      </c>
      <c r="L15" s="82"/>
      <c r="M15" s="81">
        <v>1793.41</v>
      </c>
      <c r="N15" s="81"/>
      <c r="O15" s="82">
        <v>1300</v>
      </c>
      <c r="P15" s="82"/>
      <c r="Q15" s="81">
        <v>1280.08</v>
      </c>
      <c r="R15" s="81"/>
      <c r="S15" s="82">
        <v>1800</v>
      </c>
      <c r="T15" s="82"/>
      <c r="U15" s="46">
        <v>1799.09</v>
      </c>
      <c r="V15" s="46"/>
      <c r="W15" s="33">
        <v>1750</v>
      </c>
      <c r="X15" s="33">
        <v>0</v>
      </c>
      <c r="Y15" s="47">
        <f>1288.96-0.02</f>
        <v>1288.94</v>
      </c>
      <c r="Z15" s="47">
        <v>0</v>
      </c>
      <c r="AA15" s="33">
        <v>1750</v>
      </c>
      <c r="AB15" s="33">
        <v>0</v>
      </c>
      <c r="AC15" s="33"/>
      <c r="AD15" s="81">
        <v>1691.79</v>
      </c>
      <c r="AE15" s="81">
        <v>0</v>
      </c>
      <c r="AF15" s="82">
        <v>500</v>
      </c>
      <c r="AG15" s="82">
        <v>0</v>
      </c>
      <c r="AH15" s="82"/>
      <c r="AI15" s="34">
        <f>2772.93-72.6</f>
        <v>2700.33</v>
      </c>
      <c r="AJ15" s="34">
        <v>0</v>
      </c>
      <c r="AK15" s="34">
        <v>2700.33</v>
      </c>
      <c r="AL15" s="10">
        <v>1065.51</v>
      </c>
      <c r="AM15" s="10">
        <v>0</v>
      </c>
      <c r="AN15" s="18">
        <f t="shared" si="4"/>
        <v>1065.51</v>
      </c>
      <c r="AO15" s="18" t="e">
        <f>#REF!-#REF!</f>
        <v>#REF!</v>
      </c>
    </row>
    <row r="16" spans="1:51" x14ac:dyDescent="0.25">
      <c r="C16" t="s">
        <v>213</v>
      </c>
      <c r="D16" s="145" t="s">
        <v>46</v>
      </c>
      <c r="E16" s="81"/>
      <c r="F16" s="81"/>
      <c r="G16" s="180">
        <v>4500</v>
      </c>
      <c r="H16" s="82"/>
      <c r="I16" s="81">
        <v>4354.4799999999996</v>
      </c>
      <c r="J16" s="81"/>
      <c r="K16" s="82">
        <v>4500</v>
      </c>
      <c r="L16" s="82"/>
      <c r="M16" s="81">
        <v>4325.76</v>
      </c>
      <c r="N16" s="81"/>
      <c r="O16" s="82">
        <v>5400</v>
      </c>
      <c r="P16" s="82"/>
      <c r="Q16" s="81">
        <v>4542.43</v>
      </c>
      <c r="R16" s="81"/>
      <c r="S16" s="82">
        <v>5400</v>
      </c>
      <c r="T16" s="82"/>
      <c r="U16" s="46">
        <v>5377.24</v>
      </c>
      <c r="V16" s="46"/>
      <c r="W16" s="33">
        <v>7500</v>
      </c>
      <c r="X16" s="33">
        <v>0</v>
      </c>
      <c r="Y16" s="47">
        <v>15219.39</v>
      </c>
      <c r="Z16" s="47">
        <v>0</v>
      </c>
      <c r="AA16" s="33">
        <v>15000</v>
      </c>
      <c r="AB16" s="33">
        <v>0</v>
      </c>
      <c r="AC16" s="33"/>
      <c r="AD16" s="81">
        <v>15600.04</v>
      </c>
      <c r="AE16" s="81">
        <v>0</v>
      </c>
      <c r="AF16" s="82">
        <v>6500</v>
      </c>
      <c r="AG16" s="82">
        <v>0</v>
      </c>
      <c r="AH16" s="82"/>
      <c r="AI16" s="34">
        <f>9923.97-3388</f>
        <v>6535.9699999999993</v>
      </c>
      <c r="AJ16" s="34">
        <v>0</v>
      </c>
      <c r="AK16" s="34">
        <v>6535.97</v>
      </c>
      <c r="AL16" s="10">
        <v>6585.45</v>
      </c>
      <c r="AM16" s="10">
        <v>0</v>
      </c>
      <c r="AN16" s="18">
        <f t="shared" si="4"/>
        <v>6585.45</v>
      </c>
      <c r="AO16" s="18" t="e">
        <f>#REF!-#REF!</f>
        <v>#REF!</v>
      </c>
      <c r="AP16" s="54"/>
    </row>
    <row r="17" spans="3:42" x14ac:dyDescent="0.25">
      <c r="C17" t="s">
        <v>0</v>
      </c>
      <c r="D17" s="145" t="s">
        <v>37</v>
      </c>
      <c r="E17" s="81"/>
      <c r="F17" s="81"/>
      <c r="G17" s="82">
        <v>1750</v>
      </c>
      <c r="H17" s="82"/>
      <c r="I17" s="81">
        <v>1724.22</v>
      </c>
      <c r="J17" s="81"/>
      <c r="K17" s="82">
        <v>1700</v>
      </c>
      <c r="L17" s="82"/>
      <c r="M17" s="81">
        <v>1654.04</v>
      </c>
      <c r="N17" s="81"/>
      <c r="O17" s="82">
        <v>1700</v>
      </c>
      <c r="P17" s="82"/>
      <c r="Q17" s="81">
        <v>1698.58</v>
      </c>
      <c r="R17" s="81"/>
      <c r="S17" s="82">
        <v>1700</v>
      </c>
      <c r="T17" s="82"/>
      <c r="U17" s="46">
        <v>1676.67</v>
      </c>
      <c r="V17" s="46"/>
      <c r="W17" s="33">
        <v>1600</v>
      </c>
      <c r="X17" s="33">
        <v>0</v>
      </c>
      <c r="Y17" s="47">
        <f>1514.58+3.69+61.5</f>
        <v>1579.77</v>
      </c>
      <c r="Z17" s="47">
        <v>0</v>
      </c>
      <c r="AA17" s="33">
        <v>1700</v>
      </c>
      <c r="AB17" s="33">
        <v>0</v>
      </c>
      <c r="AC17" s="33"/>
      <c r="AD17" s="81">
        <v>1506.75</v>
      </c>
      <c r="AE17" s="81">
        <v>0</v>
      </c>
      <c r="AF17" s="82">
        <v>1500</v>
      </c>
      <c r="AG17" s="82">
        <v>0</v>
      </c>
      <c r="AH17" s="82"/>
      <c r="AI17" s="34">
        <v>2504.19</v>
      </c>
      <c r="AJ17" s="34">
        <v>0</v>
      </c>
      <c r="AK17" s="34">
        <v>2504.19</v>
      </c>
      <c r="AL17" s="10">
        <v>1722.86</v>
      </c>
      <c r="AM17" s="10">
        <v>0</v>
      </c>
      <c r="AN17" s="18">
        <f t="shared" si="4"/>
        <v>1722.86</v>
      </c>
      <c r="AO17" s="18" t="e">
        <f>#REF!-#REF!</f>
        <v>#REF!</v>
      </c>
    </row>
    <row r="18" spans="3:42" x14ac:dyDescent="0.25">
      <c r="C18" t="s">
        <v>55</v>
      </c>
      <c r="D18" s="145" t="s">
        <v>21</v>
      </c>
      <c r="E18" s="81"/>
      <c r="F18" s="81"/>
      <c r="G18" s="82"/>
      <c r="H18" s="82"/>
      <c r="I18" s="81"/>
      <c r="J18" s="81"/>
      <c r="K18" s="82">
        <v>250</v>
      </c>
      <c r="L18" s="82"/>
      <c r="M18" s="81">
        <v>207.73</v>
      </c>
      <c r="N18" s="81"/>
      <c r="O18" s="82">
        <v>350</v>
      </c>
      <c r="P18" s="82"/>
      <c r="Q18" s="81">
        <v>10.01</v>
      </c>
      <c r="R18" s="81"/>
      <c r="S18" s="82">
        <v>350</v>
      </c>
      <c r="T18" s="82"/>
      <c r="U18" s="46">
        <v>130.75</v>
      </c>
      <c r="V18" s="46"/>
      <c r="W18" s="33">
        <v>350</v>
      </c>
      <c r="X18" s="33">
        <v>0</v>
      </c>
      <c r="Y18" s="47">
        <v>205.96</v>
      </c>
      <c r="Z18" s="47">
        <v>0</v>
      </c>
      <c r="AA18" s="33">
        <v>350</v>
      </c>
      <c r="AB18" s="33">
        <v>0</v>
      </c>
      <c r="AC18" s="33"/>
      <c r="AD18" s="81">
        <v>339.61</v>
      </c>
      <c r="AE18" s="81">
        <v>0</v>
      </c>
      <c r="AF18" s="82">
        <v>45</v>
      </c>
      <c r="AG18" s="82">
        <v>0</v>
      </c>
      <c r="AH18" s="82"/>
      <c r="AI18" s="34">
        <v>45</v>
      </c>
      <c r="AJ18" s="34">
        <v>0</v>
      </c>
      <c r="AK18" s="34">
        <v>45</v>
      </c>
      <c r="AL18" s="10">
        <v>13.32</v>
      </c>
      <c r="AM18" s="10">
        <v>0</v>
      </c>
      <c r="AN18" s="18">
        <f t="shared" si="4"/>
        <v>13.32</v>
      </c>
      <c r="AO18" s="18" t="e">
        <f>#REF!-#REF!</f>
        <v>#REF!</v>
      </c>
    </row>
    <row r="19" spans="3:42" x14ac:dyDescent="0.25">
      <c r="C19" t="s">
        <v>115</v>
      </c>
      <c r="D19" s="145" t="s">
        <v>130</v>
      </c>
      <c r="E19" s="81"/>
      <c r="F19" s="81"/>
      <c r="G19" s="82">
        <v>6600</v>
      </c>
      <c r="H19" s="82"/>
      <c r="I19" s="81">
        <v>6423.61</v>
      </c>
      <c r="J19" s="81"/>
      <c r="K19" s="82">
        <v>6000</v>
      </c>
      <c r="L19" s="82"/>
      <c r="M19" s="81">
        <v>5932.18</v>
      </c>
      <c r="N19" s="81"/>
      <c r="O19" s="82">
        <v>5300</v>
      </c>
      <c r="P19" s="82"/>
      <c r="Q19" s="81">
        <v>5370.66</v>
      </c>
      <c r="R19" s="81"/>
      <c r="S19" s="82">
        <v>5300</v>
      </c>
      <c r="T19" s="82"/>
      <c r="U19" s="46">
        <v>5266.49</v>
      </c>
      <c r="V19" s="46"/>
      <c r="W19" s="33">
        <v>5130</v>
      </c>
      <c r="X19" s="33">
        <v>0</v>
      </c>
      <c r="Y19" s="47">
        <v>5382.72</v>
      </c>
      <c r="Z19" s="47">
        <v>0</v>
      </c>
      <c r="AA19" s="33">
        <v>5130</v>
      </c>
      <c r="AB19" s="33">
        <v>0</v>
      </c>
      <c r="AC19" s="33"/>
      <c r="AD19" s="81">
        <v>5969.56</v>
      </c>
      <c r="AE19" s="81">
        <v>0</v>
      </c>
      <c r="AF19" s="82">
        <v>5130</v>
      </c>
      <c r="AG19" s="82">
        <v>0</v>
      </c>
      <c r="AH19" s="82"/>
      <c r="AI19" s="34">
        <v>5130.3999999999996</v>
      </c>
      <c r="AJ19" s="34">
        <v>0</v>
      </c>
      <c r="AK19" s="34">
        <v>5130.3999999999996</v>
      </c>
      <c r="AL19" s="10">
        <v>2510.75</v>
      </c>
      <c r="AM19" s="10">
        <v>0</v>
      </c>
      <c r="AN19" s="18">
        <f t="shared" si="4"/>
        <v>2510.75</v>
      </c>
      <c r="AO19" s="18" t="e">
        <f>#REF!-#REF!</f>
        <v>#REF!</v>
      </c>
      <c r="AP19" s="2"/>
    </row>
    <row r="20" spans="3:42" x14ac:dyDescent="0.25">
      <c r="C20" t="s">
        <v>124</v>
      </c>
      <c r="D20" s="145" t="s">
        <v>113</v>
      </c>
      <c r="E20" s="81"/>
      <c r="F20" s="81"/>
      <c r="G20" s="82">
        <v>750</v>
      </c>
      <c r="H20" s="82"/>
      <c r="I20" s="81">
        <v>793.16</v>
      </c>
      <c r="J20" s="81"/>
      <c r="K20" s="82">
        <v>200</v>
      </c>
      <c r="L20" s="82"/>
      <c r="M20" s="81">
        <v>68</v>
      </c>
      <c r="N20" s="81"/>
      <c r="O20" s="82">
        <v>400</v>
      </c>
      <c r="P20" s="82"/>
      <c r="Q20" s="81">
        <v>605</v>
      </c>
      <c r="R20" s="81"/>
      <c r="S20" s="82">
        <v>400</v>
      </c>
      <c r="T20" s="82"/>
      <c r="U20" s="46">
        <v>401.72</v>
      </c>
      <c r="V20" s="46"/>
      <c r="W20" s="33">
        <v>350</v>
      </c>
      <c r="X20" s="33">
        <v>0</v>
      </c>
      <c r="Y20" s="47">
        <f>397.17</f>
        <v>397.17</v>
      </c>
      <c r="Z20" s="47">
        <v>0</v>
      </c>
      <c r="AA20" s="33">
        <v>0</v>
      </c>
      <c r="AB20" s="33">
        <v>0</v>
      </c>
      <c r="AC20" s="33"/>
      <c r="AD20" s="81">
        <v>2150.59</v>
      </c>
      <c r="AE20" s="81">
        <v>0</v>
      </c>
      <c r="AF20" s="82">
        <v>500</v>
      </c>
      <c r="AG20" s="82">
        <v>0</v>
      </c>
      <c r="AH20" s="82"/>
      <c r="AI20" s="34">
        <v>1921.55</v>
      </c>
      <c r="AJ20" s="34">
        <v>0</v>
      </c>
      <c r="AK20" s="34">
        <v>1921.55</v>
      </c>
      <c r="AL20" s="10">
        <v>0</v>
      </c>
      <c r="AM20" s="10">
        <v>0</v>
      </c>
      <c r="AN20" s="18">
        <f t="shared" si="4"/>
        <v>0</v>
      </c>
      <c r="AO20" s="18" t="e">
        <f>#REF!-#REF!</f>
        <v>#REF!</v>
      </c>
    </row>
    <row r="21" spans="3:42" x14ac:dyDescent="0.25">
      <c r="C21" t="s">
        <v>189</v>
      </c>
      <c r="D21" s="145">
        <v>61317000</v>
      </c>
      <c r="E21" s="81"/>
      <c r="F21" s="81"/>
      <c r="G21" s="82"/>
      <c r="H21" s="82"/>
      <c r="I21" s="81"/>
      <c r="J21" s="81"/>
      <c r="K21" s="82">
        <v>0</v>
      </c>
      <c r="L21" s="82"/>
      <c r="M21" s="81"/>
      <c r="N21" s="81"/>
      <c r="O21" s="82">
        <v>4100</v>
      </c>
      <c r="P21" s="82"/>
      <c r="Q21" s="81"/>
      <c r="R21" s="81"/>
      <c r="S21" s="82"/>
      <c r="T21" s="82"/>
      <c r="U21" s="46">
        <v>355.74</v>
      </c>
      <c r="V21" s="46"/>
      <c r="W21" s="33"/>
      <c r="X21" s="33"/>
      <c r="Y21" s="47"/>
      <c r="Z21" s="47"/>
      <c r="AA21" s="33"/>
      <c r="AB21" s="33"/>
      <c r="AC21" s="33"/>
      <c r="AD21" s="81"/>
      <c r="AE21" s="81"/>
      <c r="AF21" s="82"/>
      <c r="AG21" s="82"/>
      <c r="AH21" s="82"/>
      <c r="AI21" s="34"/>
      <c r="AJ21" s="34"/>
      <c r="AK21" s="34"/>
      <c r="AL21" s="10"/>
      <c r="AM21" s="10"/>
      <c r="AN21" s="18"/>
      <c r="AO21" s="18"/>
      <c r="AP21" s="34"/>
    </row>
    <row r="22" spans="3:42" x14ac:dyDescent="0.25">
      <c r="C22" s="2" t="s">
        <v>171</v>
      </c>
      <c r="D22" s="145">
        <v>61342000</v>
      </c>
      <c r="E22" s="81"/>
      <c r="F22" s="81"/>
      <c r="G22" s="82"/>
      <c r="H22" s="82"/>
      <c r="I22" s="81">
        <v>520.91</v>
      </c>
      <c r="J22" s="81"/>
      <c r="K22" s="82"/>
      <c r="L22" s="82"/>
      <c r="M22" s="81"/>
      <c r="N22" s="81"/>
      <c r="O22" s="82"/>
      <c r="P22" s="82"/>
      <c r="Q22" s="81"/>
      <c r="R22" s="81"/>
      <c r="S22" s="82"/>
      <c r="T22" s="82"/>
      <c r="U22" s="46">
        <v>0</v>
      </c>
      <c r="V22" s="46"/>
      <c r="W22" s="33">
        <v>0</v>
      </c>
      <c r="X22" s="33">
        <v>0</v>
      </c>
      <c r="Y22" s="47">
        <v>132.97999999999999</v>
      </c>
      <c r="Z22" s="47">
        <v>0</v>
      </c>
      <c r="AA22" s="33">
        <v>0</v>
      </c>
      <c r="AB22" s="33">
        <v>0</v>
      </c>
      <c r="AC22" s="33"/>
      <c r="AD22" s="81">
        <v>0</v>
      </c>
      <c r="AE22" s="81">
        <v>0</v>
      </c>
      <c r="AF22" s="82">
        <v>0</v>
      </c>
      <c r="AG22" s="82">
        <v>0</v>
      </c>
      <c r="AH22" s="82"/>
      <c r="AI22" s="34">
        <v>0</v>
      </c>
      <c r="AJ22" s="34">
        <v>0</v>
      </c>
      <c r="AK22" s="34"/>
      <c r="AL22" s="10"/>
      <c r="AM22" s="10"/>
      <c r="AN22" s="18"/>
      <c r="AO22" s="18"/>
    </row>
    <row r="23" spans="3:42" x14ac:dyDescent="0.25">
      <c r="C23" t="s">
        <v>45</v>
      </c>
      <c r="D23" s="145" t="s">
        <v>18</v>
      </c>
      <c r="E23" s="81"/>
      <c r="F23" s="81"/>
      <c r="G23" s="82">
        <v>250</v>
      </c>
      <c r="H23" s="82"/>
      <c r="I23" s="81">
        <v>235.18</v>
      </c>
      <c r="J23" s="81"/>
      <c r="K23" s="82">
        <v>300</v>
      </c>
      <c r="L23" s="82"/>
      <c r="M23" s="81">
        <v>276.93</v>
      </c>
      <c r="N23" s="81"/>
      <c r="O23" s="82">
        <v>240</v>
      </c>
      <c r="P23" s="82"/>
      <c r="Q23" s="81">
        <v>207.58</v>
      </c>
      <c r="R23" s="81"/>
      <c r="S23" s="82">
        <v>240</v>
      </c>
      <c r="T23" s="82"/>
      <c r="U23" s="46">
        <v>236.39</v>
      </c>
      <c r="V23" s="46"/>
      <c r="W23" s="33">
        <f>75</f>
        <v>75</v>
      </c>
      <c r="X23" s="33">
        <v>0</v>
      </c>
      <c r="Y23" s="47">
        <v>73.150000000000006</v>
      </c>
      <c r="Z23" s="47">
        <v>0</v>
      </c>
      <c r="AA23" s="33">
        <v>50</v>
      </c>
      <c r="AB23" s="33">
        <v>0</v>
      </c>
      <c r="AC23" s="33"/>
      <c r="AD23" s="81">
        <v>181.87</v>
      </c>
      <c r="AE23" s="81">
        <v>0</v>
      </c>
      <c r="AF23" s="82">
        <v>300</v>
      </c>
      <c r="AG23" s="82">
        <v>0</v>
      </c>
      <c r="AH23" s="82"/>
      <c r="AI23" s="34">
        <f>286.99-33.3</f>
        <v>253.69</v>
      </c>
      <c r="AJ23" s="34">
        <v>0</v>
      </c>
      <c r="AK23" s="34">
        <v>253.69</v>
      </c>
      <c r="AL23" s="10">
        <v>312.24</v>
      </c>
      <c r="AM23" s="10">
        <v>0</v>
      </c>
      <c r="AN23" s="18">
        <f t="shared" si="4"/>
        <v>312.24</v>
      </c>
      <c r="AO23" s="18" t="e">
        <f>#REF!-#REF!</f>
        <v>#REF!</v>
      </c>
    </row>
    <row r="24" spans="3:42" x14ac:dyDescent="0.25">
      <c r="C24" t="s">
        <v>164</v>
      </c>
      <c r="D24" s="145" t="s">
        <v>5</v>
      </c>
      <c r="E24" s="81"/>
      <c r="F24" s="81"/>
      <c r="G24" s="82">
        <v>1150</v>
      </c>
      <c r="H24" s="82"/>
      <c r="I24" s="81">
        <v>1113.74</v>
      </c>
      <c r="J24" s="81"/>
      <c r="K24" s="82">
        <v>1100</v>
      </c>
      <c r="L24" s="82"/>
      <c r="M24" s="81">
        <v>1028.6600000000001</v>
      </c>
      <c r="N24" s="81"/>
      <c r="O24" s="82">
        <v>980</v>
      </c>
      <c r="P24" s="82"/>
      <c r="Q24" s="81">
        <v>852.83</v>
      </c>
      <c r="R24" s="81"/>
      <c r="S24" s="82">
        <v>980</v>
      </c>
      <c r="T24" s="82"/>
      <c r="U24" s="46">
        <v>1077.78</v>
      </c>
      <c r="V24" s="46"/>
      <c r="W24" s="33">
        <f>48.61*12</f>
        <v>583.31999999999994</v>
      </c>
      <c r="X24" s="33">
        <v>0</v>
      </c>
      <c r="Y24" s="47">
        <v>452.5</v>
      </c>
      <c r="Z24" s="47">
        <v>0</v>
      </c>
      <c r="AA24" s="33">
        <v>200</v>
      </c>
      <c r="AB24" s="33">
        <v>0</v>
      </c>
      <c r="AC24" s="33"/>
      <c r="AD24" s="81">
        <f>600.35</f>
        <v>600.35</v>
      </c>
      <c r="AE24" s="81">
        <v>0</v>
      </c>
      <c r="AF24" s="82">
        <v>1000</v>
      </c>
      <c r="AG24" s="82">
        <v>0</v>
      </c>
      <c r="AH24" s="82"/>
      <c r="AI24" s="34">
        <f>1533.4-15</f>
        <v>1518.4</v>
      </c>
      <c r="AJ24" s="34">
        <v>0</v>
      </c>
      <c r="AK24" s="34">
        <v>1518.4</v>
      </c>
      <c r="AL24" s="10">
        <v>1380.91</v>
      </c>
      <c r="AM24" s="10">
        <v>0</v>
      </c>
      <c r="AN24" s="18">
        <f t="shared" si="4"/>
        <v>1380.91</v>
      </c>
      <c r="AO24" s="18" t="e">
        <f>#REF!-#REF!</f>
        <v>#REF!</v>
      </c>
      <c r="AP24" s="2"/>
    </row>
    <row r="25" spans="3:42" x14ac:dyDescent="0.25">
      <c r="C25" t="s">
        <v>111</v>
      </c>
      <c r="D25" s="145" t="s">
        <v>127</v>
      </c>
      <c r="E25" s="81"/>
      <c r="F25" s="81"/>
      <c r="G25" s="82">
        <v>100</v>
      </c>
      <c r="H25" s="82"/>
      <c r="I25" s="81">
        <v>97.6</v>
      </c>
      <c r="J25" s="81"/>
      <c r="K25" s="82">
        <v>150</v>
      </c>
      <c r="L25" s="82"/>
      <c r="M25" s="81">
        <v>3.73</v>
      </c>
      <c r="N25" s="81"/>
      <c r="O25" s="82">
        <v>150</v>
      </c>
      <c r="P25" s="82"/>
      <c r="Q25" s="81">
        <v>169.99</v>
      </c>
      <c r="R25" s="81"/>
      <c r="S25" s="82">
        <v>80</v>
      </c>
      <c r="T25" s="82"/>
      <c r="U25" s="46">
        <v>80.209999999999994</v>
      </c>
      <c r="V25" s="46"/>
      <c r="W25" s="33">
        <v>84</v>
      </c>
      <c r="X25" s="33">
        <v>0</v>
      </c>
      <c r="Y25" s="47">
        <v>76.510000000000005</v>
      </c>
      <c r="Z25" s="47">
        <v>0</v>
      </c>
      <c r="AA25" s="33">
        <v>85</v>
      </c>
      <c r="AB25" s="33">
        <v>0</v>
      </c>
      <c r="AC25" s="33"/>
      <c r="AD25" s="81">
        <v>78.25</v>
      </c>
      <c r="AE25" s="81">
        <v>0</v>
      </c>
      <c r="AF25" s="82">
        <v>75</v>
      </c>
      <c r="AG25" s="82">
        <v>0</v>
      </c>
      <c r="AH25" s="82"/>
      <c r="AI25" s="34">
        <v>72.36</v>
      </c>
      <c r="AJ25" s="34">
        <v>0</v>
      </c>
      <c r="AK25" s="34">
        <v>72.36</v>
      </c>
      <c r="AL25" s="10">
        <v>70.63</v>
      </c>
      <c r="AM25" s="10">
        <v>0</v>
      </c>
      <c r="AN25" s="18">
        <f t="shared" si="4"/>
        <v>70.63</v>
      </c>
      <c r="AO25" s="18" t="e">
        <f>#REF!-#REF!</f>
        <v>#REF!</v>
      </c>
      <c r="AP25" s="2"/>
    </row>
    <row r="26" spans="3:42" x14ac:dyDescent="0.25">
      <c r="C26" t="s">
        <v>107</v>
      </c>
      <c r="D26" s="145">
        <v>61333000</v>
      </c>
      <c r="E26" s="81"/>
      <c r="F26" s="81"/>
      <c r="G26" s="82">
        <v>1300</v>
      </c>
      <c r="H26" s="82"/>
      <c r="I26" s="81">
        <v>1274.73</v>
      </c>
      <c r="J26" s="81"/>
      <c r="K26" s="82">
        <v>740</v>
      </c>
      <c r="L26" s="82"/>
      <c r="M26" s="81">
        <v>839.95</v>
      </c>
      <c r="N26" s="81"/>
      <c r="O26" s="82">
        <v>720</v>
      </c>
      <c r="P26" s="82"/>
      <c r="Q26" s="81">
        <v>716.05</v>
      </c>
      <c r="R26" s="81"/>
      <c r="S26" s="82">
        <v>700</v>
      </c>
      <c r="T26" s="82"/>
      <c r="U26" s="46">
        <v>713.74</v>
      </c>
      <c r="V26" s="46"/>
      <c r="W26" s="33">
        <v>722</v>
      </c>
      <c r="X26" s="33">
        <v>0</v>
      </c>
      <c r="Y26" s="47">
        <v>868.98</v>
      </c>
      <c r="Z26" s="47">
        <v>0</v>
      </c>
      <c r="AA26" s="33">
        <v>800</v>
      </c>
      <c r="AB26" s="33">
        <v>0</v>
      </c>
      <c r="AC26" s="33"/>
      <c r="AD26" s="81">
        <v>960.98</v>
      </c>
      <c r="AE26" s="81">
        <v>0</v>
      </c>
      <c r="AF26" s="82">
        <v>850</v>
      </c>
      <c r="AG26" s="82">
        <v>0</v>
      </c>
      <c r="AH26" s="82"/>
      <c r="AI26" s="34">
        <v>808.75</v>
      </c>
      <c r="AJ26" s="34">
        <v>0</v>
      </c>
      <c r="AK26" s="34">
        <v>808.75</v>
      </c>
      <c r="AL26" s="10">
        <v>877.95</v>
      </c>
      <c r="AM26" s="10">
        <v>0</v>
      </c>
      <c r="AN26" s="18">
        <f t="shared" si="4"/>
        <v>877.95</v>
      </c>
      <c r="AO26" s="18" t="e">
        <f>#REF!-#REF!</f>
        <v>#REF!</v>
      </c>
      <c r="AP26" s="2"/>
    </row>
    <row r="27" spans="3:42" x14ac:dyDescent="0.25">
      <c r="C27" t="s">
        <v>51</v>
      </c>
      <c r="D27" s="145" t="s">
        <v>109</v>
      </c>
      <c r="E27" s="81"/>
      <c r="F27" s="81"/>
      <c r="G27" s="82">
        <v>210</v>
      </c>
      <c r="H27" s="82"/>
      <c r="I27" s="81">
        <v>204.47</v>
      </c>
      <c r="J27" s="81"/>
      <c r="K27" s="82">
        <v>200</v>
      </c>
      <c r="L27" s="82"/>
      <c r="M27" s="81">
        <v>198.29</v>
      </c>
      <c r="N27" s="81"/>
      <c r="O27" s="82">
        <v>180</v>
      </c>
      <c r="P27" s="82"/>
      <c r="Q27" s="81">
        <v>176.07</v>
      </c>
      <c r="R27" s="81"/>
      <c r="S27" s="82">
        <v>170</v>
      </c>
      <c r="T27" s="82"/>
      <c r="U27" s="46">
        <v>170.74</v>
      </c>
      <c r="V27" s="46"/>
      <c r="W27" s="33">
        <f>170.74+218+450</f>
        <v>838.74</v>
      </c>
      <c r="X27" s="33">
        <v>0</v>
      </c>
      <c r="Y27" s="47">
        <v>167.39</v>
      </c>
      <c r="Z27" s="47">
        <v>0</v>
      </c>
      <c r="AA27" s="33">
        <v>165</v>
      </c>
      <c r="AB27" s="33">
        <v>0</v>
      </c>
      <c r="AC27" s="33"/>
      <c r="AD27" s="81">
        <v>163.95</v>
      </c>
      <c r="AE27" s="81">
        <v>0</v>
      </c>
      <c r="AF27" s="82">
        <v>165</v>
      </c>
      <c r="AG27" s="82">
        <v>0</v>
      </c>
      <c r="AH27" s="82"/>
      <c r="AI27" s="34">
        <v>160.72999999999999</v>
      </c>
      <c r="AJ27" s="34">
        <v>0</v>
      </c>
      <c r="AK27" s="34">
        <v>160.72999999999999</v>
      </c>
      <c r="AL27" s="10">
        <v>156.34</v>
      </c>
      <c r="AM27" s="10">
        <v>0</v>
      </c>
      <c r="AN27" s="18">
        <f t="shared" si="4"/>
        <v>156.34</v>
      </c>
      <c r="AO27" s="18" t="e">
        <f>#REF!-#REF!</f>
        <v>#REF!</v>
      </c>
      <c r="AP27" s="2"/>
    </row>
    <row r="28" spans="3:42" ht="12.6" customHeight="1" x14ac:dyDescent="0.25">
      <c r="C28" t="s">
        <v>129</v>
      </c>
      <c r="D28" s="145" t="s">
        <v>72</v>
      </c>
      <c r="E28" s="81"/>
      <c r="F28" s="81"/>
      <c r="G28" s="180">
        <v>3000</v>
      </c>
      <c r="H28" s="82"/>
      <c r="I28" s="81">
        <v>2836.28</v>
      </c>
      <c r="J28" s="81"/>
      <c r="K28" s="82"/>
      <c r="L28" s="82"/>
      <c r="M28" s="81">
        <v>18</v>
      </c>
      <c r="N28" s="81"/>
      <c r="O28" s="82"/>
      <c r="P28" s="82"/>
      <c r="Q28" s="81">
        <v>284.95999999999998</v>
      </c>
      <c r="R28" s="81"/>
      <c r="S28" s="82"/>
      <c r="T28" s="82"/>
      <c r="U28" s="46"/>
      <c r="V28" s="46"/>
      <c r="W28" s="33">
        <v>0</v>
      </c>
      <c r="X28" s="33">
        <v>0</v>
      </c>
      <c r="Y28" s="47">
        <v>0</v>
      </c>
      <c r="Z28" s="47">
        <v>0</v>
      </c>
      <c r="AA28" s="33">
        <v>1650</v>
      </c>
      <c r="AB28" s="33">
        <v>0</v>
      </c>
      <c r="AC28" s="33"/>
      <c r="AD28" s="81">
        <v>1644.95</v>
      </c>
      <c r="AE28" s="81">
        <v>0</v>
      </c>
      <c r="AF28" s="82">
        <v>1200</v>
      </c>
      <c r="AG28" s="82">
        <v>0</v>
      </c>
      <c r="AH28" s="82"/>
      <c r="AI28" s="34">
        <v>1111.8599999999999</v>
      </c>
      <c r="AJ28" s="34">
        <v>0</v>
      </c>
      <c r="AK28" s="34">
        <v>1111.8599999999999</v>
      </c>
      <c r="AL28" s="10">
        <v>0</v>
      </c>
      <c r="AM28" s="10">
        <v>0</v>
      </c>
      <c r="AN28" s="18">
        <f t="shared" si="4"/>
        <v>0</v>
      </c>
      <c r="AO28" s="18" t="e">
        <f>#REF!-#REF!</f>
        <v>#REF!</v>
      </c>
    </row>
    <row r="29" spans="3:42" x14ac:dyDescent="0.25">
      <c r="C29" t="s">
        <v>23</v>
      </c>
      <c r="D29" s="145" t="s">
        <v>61</v>
      </c>
      <c r="E29" s="81"/>
      <c r="F29" s="81"/>
      <c r="G29" s="180">
        <v>5000</v>
      </c>
      <c r="H29" s="82"/>
      <c r="I29" s="81">
        <v>7479.37</v>
      </c>
      <c r="J29" s="81"/>
      <c r="K29" s="82">
        <v>2000</v>
      </c>
      <c r="L29" s="82"/>
      <c r="M29" s="81">
        <v>2122.59</v>
      </c>
      <c r="N29" s="81"/>
      <c r="O29" s="82">
        <v>650</v>
      </c>
      <c r="P29" s="82"/>
      <c r="Q29" s="81">
        <v>400.15</v>
      </c>
      <c r="R29" s="81"/>
      <c r="S29" s="82">
        <v>750</v>
      </c>
      <c r="T29" s="82"/>
      <c r="U29" s="46">
        <v>362.3</v>
      </c>
      <c r="V29" s="46"/>
      <c r="W29" s="33">
        <v>1500</v>
      </c>
      <c r="X29" s="33">
        <v>0</v>
      </c>
      <c r="Y29" s="47">
        <v>940.79</v>
      </c>
      <c r="Z29" s="47">
        <v>0</v>
      </c>
      <c r="AA29" s="33">
        <v>1500</v>
      </c>
      <c r="AB29" s="33">
        <v>0</v>
      </c>
      <c r="AC29" s="33"/>
      <c r="AD29" s="81">
        <v>3812</v>
      </c>
      <c r="AE29" s="81">
        <v>0</v>
      </c>
      <c r="AF29" s="82">
        <v>1500</v>
      </c>
      <c r="AG29" s="82">
        <v>0</v>
      </c>
      <c r="AH29" s="82"/>
      <c r="AI29" s="34">
        <f>2338-464</f>
        <v>1874</v>
      </c>
      <c r="AJ29" s="34">
        <v>0</v>
      </c>
      <c r="AK29" s="34">
        <v>1874</v>
      </c>
      <c r="AL29" s="10">
        <f>736.51+8.45-676</f>
        <v>68.960000000000036</v>
      </c>
      <c r="AM29" s="10">
        <v>0</v>
      </c>
      <c r="AN29" s="18">
        <f t="shared" si="4"/>
        <v>68.960000000000036</v>
      </c>
      <c r="AO29" s="18" t="e">
        <f>#REF!-#REF!</f>
        <v>#REF!</v>
      </c>
      <c r="AP29" t="s">
        <v>182</v>
      </c>
    </row>
    <row r="30" spans="3:42" x14ac:dyDescent="0.25">
      <c r="C30" t="s">
        <v>118</v>
      </c>
      <c r="D30" s="145" t="s">
        <v>39</v>
      </c>
      <c r="E30" s="81"/>
      <c r="F30" s="81"/>
      <c r="G30" s="82">
        <v>200</v>
      </c>
      <c r="H30" s="82"/>
      <c r="I30" s="81">
        <v>182.06</v>
      </c>
      <c r="J30" s="81"/>
      <c r="K30" s="82">
        <v>150</v>
      </c>
      <c r="L30" s="82"/>
      <c r="M30" s="81">
        <v>122.02</v>
      </c>
      <c r="N30" s="81"/>
      <c r="O30" s="82">
        <v>190</v>
      </c>
      <c r="P30" s="82"/>
      <c r="Q30" s="81">
        <v>184.33</v>
      </c>
      <c r="R30" s="81"/>
      <c r="S30" s="82">
        <v>170</v>
      </c>
      <c r="T30" s="82"/>
      <c r="U30" s="46">
        <v>163.69</v>
      </c>
      <c r="V30" s="46"/>
      <c r="W30" s="33">
        <v>200</v>
      </c>
      <c r="X30" s="33">
        <v>0</v>
      </c>
      <c r="Y30" s="47">
        <v>153.01</v>
      </c>
      <c r="Z30" s="47">
        <v>0</v>
      </c>
      <c r="AA30" s="33">
        <v>250</v>
      </c>
      <c r="AB30" s="33">
        <v>0</v>
      </c>
      <c r="AC30" s="33"/>
      <c r="AD30" s="81">
        <f>346.19-101.42</f>
        <v>244.76999999999998</v>
      </c>
      <c r="AE30" s="81">
        <v>0</v>
      </c>
      <c r="AF30" s="82">
        <v>250</v>
      </c>
      <c r="AG30" s="82">
        <v>0</v>
      </c>
      <c r="AH30" s="82"/>
      <c r="AI30" s="34">
        <v>245.29</v>
      </c>
      <c r="AJ30" s="34">
        <v>0</v>
      </c>
      <c r="AK30" s="34">
        <v>245.29</v>
      </c>
      <c r="AL30" s="10">
        <v>0</v>
      </c>
      <c r="AM30" s="10">
        <v>0</v>
      </c>
      <c r="AN30" s="18">
        <f t="shared" si="4"/>
        <v>0</v>
      </c>
      <c r="AO30" s="18" t="e">
        <f>#REF!-#REF!</f>
        <v>#REF!</v>
      </c>
      <c r="AP30" s="25"/>
    </row>
    <row r="31" spans="3:42" x14ac:dyDescent="0.25">
      <c r="C31" t="s">
        <v>114</v>
      </c>
      <c r="D31" s="145" t="s">
        <v>110</v>
      </c>
      <c r="E31" s="81"/>
      <c r="F31" s="81"/>
      <c r="G31" s="82">
        <v>250</v>
      </c>
      <c r="H31" s="82"/>
      <c r="I31" s="81">
        <v>193.79</v>
      </c>
      <c r="J31" s="81"/>
      <c r="K31" s="82">
        <v>2500</v>
      </c>
      <c r="L31" s="82"/>
      <c r="M31" s="81">
        <v>2597.25</v>
      </c>
      <c r="N31" s="81"/>
      <c r="O31" s="82">
        <v>1000</v>
      </c>
      <c r="P31" s="82"/>
      <c r="Q31" s="81">
        <v>67.5</v>
      </c>
      <c r="R31" s="81"/>
      <c r="S31" s="82">
        <v>1900</v>
      </c>
      <c r="T31" s="82"/>
      <c r="U31" s="46">
        <v>353.86</v>
      </c>
      <c r="V31" s="46"/>
      <c r="W31" s="33">
        <v>150</v>
      </c>
      <c r="X31" s="33">
        <v>0</v>
      </c>
      <c r="Y31" s="47">
        <v>0</v>
      </c>
      <c r="Z31" s="47">
        <v>0</v>
      </c>
      <c r="AA31" s="33">
        <v>150</v>
      </c>
      <c r="AB31" s="33">
        <v>0</v>
      </c>
      <c r="AC31" s="33"/>
      <c r="AD31" s="81">
        <v>47.8</v>
      </c>
      <c r="AE31" s="81">
        <v>0</v>
      </c>
      <c r="AF31" s="82">
        <v>260</v>
      </c>
      <c r="AG31" s="82">
        <v>0</v>
      </c>
      <c r="AH31" s="82"/>
      <c r="AI31" s="34">
        <v>254.04</v>
      </c>
      <c r="AJ31" s="34">
        <v>0</v>
      </c>
      <c r="AK31" s="34">
        <v>254.04</v>
      </c>
      <c r="AL31" s="10">
        <v>1369.07</v>
      </c>
      <c r="AM31" s="10">
        <v>0</v>
      </c>
      <c r="AN31" s="18">
        <f t="shared" si="4"/>
        <v>1369.07</v>
      </c>
      <c r="AO31" s="18" t="e">
        <f>#REF!-#REF!</f>
        <v>#REF!</v>
      </c>
    </row>
    <row r="32" spans="3:42" x14ac:dyDescent="0.25">
      <c r="C32" t="s">
        <v>112</v>
      </c>
      <c r="D32" s="145" t="s">
        <v>78</v>
      </c>
      <c r="E32" s="81"/>
      <c r="F32" s="81"/>
      <c r="G32" s="82"/>
      <c r="H32" s="82"/>
      <c r="I32" s="81"/>
      <c r="J32" s="81"/>
      <c r="K32" s="82"/>
      <c r="L32" s="82"/>
      <c r="M32" s="81"/>
      <c r="N32" s="81"/>
      <c r="O32" s="82">
        <v>2000</v>
      </c>
      <c r="P32" s="82"/>
      <c r="Q32" s="81"/>
      <c r="R32" s="81"/>
      <c r="S32" s="82"/>
      <c r="T32" s="82"/>
      <c r="U32" s="46">
        <v>0</v>
      </c>
      <c r="V32" s="46"/>
      <c r="W32" s="33">
        <v>500</v>
      </c>
      <c r="X32" s="33">
        <v>0</v>
      </c>
      <c r="Y32" s="47">
        <v>1222.4000000000001</v>
      </c>
      <c r="Z32" s="47">
        <v>0</v>
      </c>
      <c r="AA32" s="33">
        <v>500</v>
      </c>
      <c r="AB32" s="33">
        <v>0</v>
      </c>
      <c r="AC32" s="33"/>
      <c r="AD32" s="81">
        <v>0</v>
      </c>
      <c r="AE32" s="81">
        <v>0</v>
      </c>
      <c r="AF32" s="82">
        <v>500</v>
      </c>
      <c r="AG32" s="82">
        <v>0</v>
      </c>
      <c r="AH32" s="82"/>
      <c r="AI32" s="34">
        <v>2662</v>
      </c>
      <c r="AJ32" s="34">
        <v>0</v>
      </c>
      <c r="AK32" s="34">
        <v>2662</v>
      </c>
      <c r="AL32" s="10">
        <v>0</v>
      </c>
      <c r="AM32" s="10">
        <v>0</v>
      </c>
      <c r="AN32" s="18">
        <f t="shared" si="4"/>
        <v>0</v>
      </c>
      <c r="AO32" s="18" t="e">
        <f>#REF!-#REF!</f>
        <v>#REF!</v>
      </c>
    </row>
    <row r="33" spans="1:42" x14ac:dyDescent="0.25">
      <c r="C33" t="s">
        <v>725</v>
      </c>
      <c r="D33" s="145">
        <v>64600000</v>
      </c>
      <c r="E33" s="81"/>
      <c r="F33" s="81"/>
      <c r="G33" s="82"/>
      <c r="H33" s="82"/>
      <c r="I33" s="81"/>
      <c r="J33" s="81"/>
      <c r="K33" s="82"/>
      <c r="L33" s="82"/>
      <c r="M33" s="81"/>
      <c r="N33" s="81"/>
      <c r="O33" s="82"/>
      <c r="P33" s="82"/>
      <c r="Q33" s="81">
        <v>912.81</v>
      </c>
      <c r="R33" s="81"/>
      <c r="S33" s="82"/>
      <c r="T33" s="82"/>
      <c r="U33" s="46"/>
      <c r="V33" s="46"/>
      <c r="W33" s="33"/>
      <c r="X33" s="33"/>
      <c r="Y33" s="47"/>
      <c r="Z33" s="47"/>
      <c r="AA33" s="33"/>
      <c r="AB33" s="33"/>
      <c r="AC33" s="33"/>
      <c r="AD33" s="81"/>
      <c r="AE33" s="81"/>
      <c r="AF33" s="82"/>
      <c r="AG33" s="82"/>
      <c r="AH33" s="82"/>
      <c r="AI33" s="34"/>
      <c r="AJ33" s="34"/>
      <c r="AK33" s="34"/>
      <c r="AL33" s="10"/>
      <c r="AM33" s="10"/>
      <c r="AN33" s="18"/>
      <c r="AO33" s="18"/>
    </row>
    <row r="34" spans="1:42" x14ac:dyDescent="0.25">
      <c r="C34" t="s">
        <v>64</v>
      </c>
      <c r="D34" s="145" t="s">
        <v>81</v>
      </c>
      <c r="E34" s="81"/>
      <c r="F34" s="81"/>
      <c r="G34" s="82"/>
      <c r="H34" s="82"/>
      <c r="I34" s="81"/>
      <c r="J34" s="81"/>
      <c r="K34" s="82"/>
      <c r="L34" s="82"/>
      <c r="M34" s="81"/>
      <c r="N34" s="81"/>
      <c r="O34" s="82"/>
      <c r="P34" s="82"/>
      <c r="Q34" s="81"/>
      <c r="R34" s="81"/>
      <c r="S34" s="82"/>
      <c r="T34" s="82"/>
      <c r="U34" s="46"/>
      <c r="V34" s="46"/>
      <c r="W34" s="33">
        <v>0</v>
      </c>
      <c r="X34" s="33">
        <v>0</v>
      </c>
      <c r="Y34" s="47">
        <v>0</v>
      </c>
      <c r="Z34" s="47">
        <v>0</v>
      </c>
      <c r="AA34" s="33">
        <v>0</v>
      </c>
      <c r="AB34" s="33">
        <v>0</v>
      </c>
      <c r="AC34" s="33"/>
      <c r="AD34" s="81">
        <v>0</v>
      </c>
      <c r="AE34" s="81">
        <v>0</v>
      </c>
      <c r="AF34" s="82">
        <v>0</v>
      </c>
      <c r="AG34" s="82">
        <v>0</v>
      </c>
      <c r="AH34" s="82"/>
      <c r="AI34" s="34">
        <f>30-0.07</f>
        <v>29.93</v>
      </c>
      <c r="AJ34" s="34">
        <v>0</v>
      </c>
      <c r="AK34" s="34">
        <v>29.93</v>
      </c>
      <c r="AL34" s="10">
        <v>0</v>
      </c>
      <c r="AM34" s="10">
        <v>0</v>
      </c>
      <c r="AN34" s="18">
        <f t="shared" si="4"/>
        <v>0</v>
      </c>
      <c r="AO34" s="18" t="e">
        <f>#REF!-#REF!</f>
        <v>#REF!</v>
      </c>
    </row>
    <row r="35" spans="1:42" x14ac:dyDescent="0.25">
      <c r="C35" t="s">
        <v>71</v>
      </c>
      <c r="D35" s="145" t="s">
        <v>27</v>
      </c>
      <c r="E35" s="81"/>
      <c r="F35" s="81"/>
      <c r="G35" s="82"/>
      <c r="H35" s="82"/>
      <c r="I35" s="81"/>
      <c r="J35" s="81"/>
      <c r="K35" s="82"/>
      <c r="L35" s="82"/>
      <c r="M35" s="81"/>
      <c r="N35" s="81"/>
      <c r="O35" s="82"/>
      <c r="P35" s="82"/>
      <c r="Q35" s="81"/>
      <c r="R35" s="81"/>
      <c r="S35" s="82"/>
      <c r="T35" s="82"/>
      <c r="U35" s="46"/>
      <c r="V35" s="46"/>
      <c r="W35" s="33">
        <v>0</v>
      </c>
      <c r="X35" s="33">
        <v>0</v>
      </c>
      <c r="Y35" s="47">
        <v>0</v>
      </c>
      <c r="Z35" s="47">
        <v>0</v>
      </c>
      <c r="AA35" s="33">
        <v>0</v>
      </c>
      <c r="AB35" s="33">
        <v>0</v>
      </c>
      <c r="AC35" s="33"/>
      <c r="AD35" s="81">
        <v>0</v>
      </c>
      <c r="AE35" s="81">
        <v>0</v>
      </c>
      <c r="AF35" s="82">
        <v>0</v>
      </c>
      <c r="AG35" s="82">
        <v>0</v>
      </c>
      <c r="AH35" s="82"/>
      <c r="AI35" s="34">
        <v>0</v>
      </c>
      <c r="AJ35" s="34">
        <v>1361.25</v>
      </c>
      <c r="AK35" s="34">
        <v>-1361.25</v>
      </c>
      <c r="AL35" s="10">
        <v>0</v>
      </c>
      <c r="AM35" s="10">
        <v>0</v>
      </c>
      <c r="AN35" s="18">
        <f t="shared" si="4"/>
        <v>0</v>
      </c>
      <c r="AO35" s="18" t="e">
        <f>#REF!-#REF!</f>
        <v>#REF!</v>
      </c>
    </row>
    <row r="36" spans="1:42" x14ac:dyDescent="0.25">
      <c r="C36" t="s">
        <v>91</v>
      </c>
      <c r="D36" s="145" t="s">
        <v>42</v>
      </c>
      <c r="E36" s="81"/>
      <c r="F36" s="81"/>
      <c r="G36" s="82"/>
      <c r="H36" s="82"/>
      <c r="I36" s="81"/>
      <c r="J36" s="81"/>
      <c r="K36" s="82"/>
      <c r="L36" s="82"/>
      <c r="M36" s="81"/>
      <c r="N36" s="81"/>
      <c r="O36" s="82"/>
      <c r="P36" s="82"/>
      <c r="Q36" s="81"/>
      <c r="R36" s="81"/>
      <c r="S36" s="82"/>
      <c r="T36" s="82"/>
      <c r="U36" s="46"/>
      <c r="V36" s="46"/>
      <c r="W36" s="33">
        <v>0</v>
      </c>
      <c r="X36" s="33">
        <v>0</v>
      </c>
      <c r="Y36" s="47">
        <v>0</v>
      </c>
      <c r="Z36" s="48">
        <v>0</v>
      </c>
      <c r="AA36" s="33">
        <v>0</v>
      </c>
      <c r="AB36" s="33">
        <v>0</v>
      </c>
      <c r="AC36" s="33"/>
      <c r="AD36" s="81">
        <v>0</v>
      </c>
      <c r="AE36" s="81">
        <v>0</v>
      </c>
      <c r="AF36" s="82">
        <v>0</v>
      </c>
      <c r="AG36" s="82">
        <v>0</v>
      </c>
      <c r="AH36" s="82"/>
      <c r="AI36" s="34">
        <v>0</v>
      </c>
      <c r="AJ36" s="34">
        <v>100</v>
      </c>
      <c r="AK36" s="34">
        <v>-100</v>
      </c>
      <c r="AL36" s="10">
        <v>0</v>
      </c>
      <c r="AM36" s="10">
        <v>0</v>
      </c>
      <c r="AN36" s="18">
        <f t="shared" si="4"/>
        <v>0</v>
      </c>
      <c r="AO36" s="18" t="e">
        <f>#REF!-#REF!</f>
        <v>#REF!</v>
      </c>
    </row>
    <row r="37" spans="1:42" x14ac:dyDescent="0.25">
      <c r="C37" t="s">
        <v>8</v>
      </c>
      <c r="D37" s="145" t="s">
        <v>50</v>
      </c>
      <c r="E37" s="81"/>
      <c r="F37" s="81"/>
      <c r="G37" s="82"/>
      <c r="H37" s="82">
        <v>3750</v>
      </c>
      <c r="I37" s="81"/>
      <c r="J37" s="81">
        <v>3867</v>
      </c>
      <c r="K37" s="82"/>
      <c r="L37" s="82">
        <v>5500</v>
      </c>
      <c r="M37" s="81"/>
      <c r="N37" s="81">
        <v>5475</v>
      </c>
      <c r="O37" s="82"/>
      <c r="P37" s="82">
        <v>5000</v>
      </c>
      <c r="Q37" s="81"/>
      <c r="R37" s="81">
        <v>4535</v>
      </c>
      <c r="S37" s="82"/>
      <c r="T37" s="82">
        <v>5400</v>
      </c>
      <c r="U37" s="46"/>
      <c r="V37" s="46">
        <v>4949</v>
      </c>
      <c r="W37" s="33">
        <v>0</v>
      </c>
      <c r="X37" s="33">
        <v>4650</v>
      </c>
      <c r="Y37" s="47">
        <v>0</v>
      </c>
      <c r="Z37" s="48">
        <v>4708</v>
      </c>
      <c r="AA37" s="33">
        <v>0</v>
      </c>
      <c r="AB37" s="33">
        <v>5000</v>
      </c>
      <c r="AC37" s="33"/>
      <c r="AD37" s="81">
        <v>0</v>
      </c>
      <c r="AE37" s="81">
        <v>4971</v>
      </c>
      <c r="AF37" s="82">
        <v>0</v>
      </c>
      <c r="AG37" s="82">
        <v>5000</v>
      </c>
      <c r="AH37" s="82"/>
      <c r="AI37" s="34">
        <v>0</v>
      </c>
      <c r="AJ37" s="34">
        <f>6271-420</f>
        <v>5851</v>
      </c>
      <c r="AK37" s="34">
        <v>-5851</v>
      </c>
      <c r="AL37" s="10">
        <v>0</v>
      </c>
      <c r="AM37" s="10">
        <v>5213.09</v>
      </c>
      <c r="AN37" s="18">
        <f t="shared" si="4"/>
        <v>-5213.09</v>
      </c>
      <c r="AO37" s="18" t="e">
        <f>#REF!-#REF!</f>
        <v>#REF!</v>
      </c>
      <c r="AP37" s="59"/>
    </row>
    <row r="38" spans="1:42" x14ac:dyDescent="0.25">
      <c r="C38" t="s">
        <v>392</v>
      </c>
      <c r="D38" s="145" t="s">
        <v>22</v>
      </c>
      <c r="E38" s="81"/>
      <c r="F38" s="81"/>
      <c r="G38" s="82"/>
      <c r="H38" s="82">
        <v>45000</v>
      </c>
      <c r="I38" s="81"/>
      <c r="J38" s="81">
        <v>45135</v>
      </c>
      <c r="K38" s="82"/>
      <c r="L38" s="82">
        <v>50500</v>
      </c>
      <c r="M38" s="81"/>
      <c r="N38" s="81">
        <v>50359</v>
      </c>
      <c r="O38" s="82"/>
      <c r="P38" s="82">
        <v>49000</v>
      </c>
      <c r="Q38" s="81"/>
      <c r="R38" s="81">
        <v>47098</v>
      </c>
      <c r="S38" s="82"/>
      <c r="T38" s="82">
        <v>49000</v>
      </c>
      <c r="U38" s="46"/>
      <c r="V38" s="46">
        <v>47032</v>
      </c>
      <c r="W38" s="33">
        <v>0</v>
      </c>
      <c r="X38" s="33">
        <v>46000</v>
      </c>
      <c r="Y38" s="47">
        <v>0</v>
      </c>
      <c r="Z38" s="48">
        <v>46872</v>
      </c>
      <c r="AA38" s="33">
        <v>0</v>
      </c>
      <c r="AB38" s="33">
        <v>50000</v>
      </c>
      <c r="AC38" s="33"/>
      <c r="AD38" s="81">
        <v>0</v>
      </c>
      <c r="AE38" s="81">
        <f>51860+541</f>
        <v>52401</v>
      </c>
      <c r="AF38" s="82">
        <v>0</v>
      </c>
      <c r="AG38" s="82">
        <v>47000</v>
      </c>
      <c r="AH38" s="82"/>
      <c r="AI38" s="34">
        <v>0</v>
      </c>
      <c r="AJ38" s="34">
        <f>49642-3710</f>
        <v>45932</v>
      </c>
      <c r="AK38" s="34">
        <v>-45932</v>
      </c>
      <c r="AL38" s="10">
        <v>0</v>
      </c>
      <c r="AM38" s="10">
        <v>45392</v>
      </c>
      <c r="AN38" s="18">
        <f t="shared" si="4"/>
        <v>-45392</v>
      </c>
      <c r="AO38" s="18" t="e">
        <f>#REF!-#REF!</f>
        <v>#REF!</v>
      </c>
      <c r="AP38" s="59"/>
    </row>
    <row r="39" spans="1:42" x14ac:dyDescent="0.25">
      <c r="C39" t="s">
        <v>83</v>
      </c>
      <c r="D39" s="145">
        <v>70517000</v>
      </c>
      <c r="E39" s="81"/>
      <c r="F39" s="81"/>
      <c r="G39" s="82"/>
      <c r="H39" s="82"/>
      <c r="I39" s="81"/>
      <c r="J39" s="81"/>
      <c r="K39" s="82"/>
      <c r="L39" s="82"/>
      <c r="M39" s="81"/>
      <c r="N39" s="81"/>
      <c r="O39" s="82"/>
      <c r="P39" s="82"/>
      <c r="Q39" s="81"/>
      <c r="R39" s="81"/>
      <c r="S39" s="82"/>
      <c r="T39" s="82"/>
      <c r="U39" s="46"/>
      <c r="V39" s="46"/>
      <c r="W39" s="33">
        <v>0</v>
      </c>
      <c r="X39" s="33">
        <v>0</v>
      </c>
      <c r="Y39" s="48">
        <v>0</v>
      </c>
      <c r="Z39" s="48">
        <v>0</v>
      </c>
      <c r="AA39" s="33">
        <v>0</v>
      </c>
      <c r="AB39" s="33">
        <v>0</v>
      </c>
      <c r="AC39" s="33"/>
      <c r="AD39" s="81">
        <v>0</v>
      </c>
      <c r="AE39" s="81">
        <v>0</v>
      </c>
      <c r="AF39" s="82">
        <v>0</v>
      </c>
      <c r="AG39" s="82">
        <v>0</v>
      </c>
      <c r="AH39" s="82"/>
      <c r="AI39" s="34">
        <v>0</v>
      </c>
      <c r="AJ39" s="34">
        <v>0</v>
      </c>
      <c r="AK39" s="34">
        <v>-56283</v>
      </c>
      <c r="AL39" s="10">
        <v>0</v>
      </c>
      <c r="AM39" s="10">
        <v>0</v>
      </c>
      <c r="AN39" s="18">
        <f t="shared" si="4"/>
        <v>0</v>
      </c>
      <c r="AO39" s="18" t="e">
        <f>#REF!-#REF!</f>
        <v>#REF!</v>
      </c>
      <c r="AP39" s="59"/>
    </row>
    <row r="40" spans="1:42" x14ac:dyDescent="0.25">
      <c r="C40" t="s">
        <v>99</v>
      </c>
      <c r="D40" s="145" t="s">
        <v>48</v>
      </c>
      <c r="E40" s="81"/>
      <c r="F40" s="81"/>
      <c r="G40" s="82"/>
      <c r="H40" s="82"/>
      <c r="I40" s="81"/>
      <c r="J40" s="81">
        <v>100</v>
      </c>
      <c r="K40" s="82"/>
      <c r="L40" s="82"/>
      <c r="M40" s="81"/>
      <c r="N40" s="81"/>
      <c r="O40" s="82"/>
      <c r="P40" s="82"/>
      <c r="Q40" s="81"/>
      <c r="R40" s="81">
        <v>100</v>
      </c>
      <c r="S40" s="82"/>
      <c r="T40" s="82"/>
      <c r="U40" s="46"/>
      <c r="V40" s="46"/>
      <c r="W40" s="33">
        <v>0</v>
      </c>
      <c r="X40" s="33">
        <v>0</v>
      </c>
      <c r="Y40" s="48">
        <v>0</v>
      </c>
      <c r="Z40" s="48">
        <v>600</v>
      </c>
      <c r="AA40" s="33">
        <v>0</v>
      </c>
      <c r="AB40" s="33">
        <v>0</v>
      </c>
      <c r="AC40" s="33"/>
      <c r="AD40" s="81">
        <v>0</v>
      </c>
      <c r="AE40" s="81">
        <v>0</v>
      </c>
      <c r="AF40" s="82">
        <v>0</v>
      </c>
      <c r="AG40" s="82">
        <v>0</v>
      </c>
      <c r="AH40" s="82"/>
      <c r="AI40" s="34">
        <v>0</v>
      </c>
      <c r="AJ40" s="34">
        <v>100</v>
      </c>
      <c r="AK40" s="34">
        <v>-100</v>
      </c>
      <c r="AL40" s="10">
        <v>0</v>
      </c>
      <c r="AM40" s="10">
        <v>0</v>
      </c>
      <c r="AN40" s="18">
        <f t="shared" si="4"/>
        <v>0</v>
      </c>
      <c r="AO40" s="18" t="e">
        <f>#REF!-#REF!</f>
        <v>#REF!</v>
      </c>
    </row>
    <row r="41" spans="1:42" x14ac:dyDescent="0.25">
      <c r="C41" s="2" t="s">
        <v>25</v>
      </c>
      <c r="D41" s="146" t="s">
        <v>63</v>
      </c>
      <c r="E41" s="81"/>
      <c r="F41" s="81"/>
      <c r="G41" s="82"/>
      <c r="H41" s="82"/>
      <c r="I41" s="81"/>
      <c r="J41" s="81"/>
      <c r="K41" s="82"/>
      <c r="L41" s="82"/>
      <c r="M41" s="81"/>
      <c r="N41" s="81">
        <v>2241</v>
      </c>
      <c r="O41" s="82"/>
      <c r="P41" s="82"/>
      <c r="Q41" s="81"/>
      <c r="R41" s="81"/>
      <c r="S41" s="82"/>
      <c r="T41" s="82"/>
      <c r="U41" s="46"/>
      <c r="V41" s="46"/>
      <c r="W41" s="33">
        <v>0</v>
      </c>
      <c r="X41" s="33">
        <v>0</v>
      </c>
      <c r="Y41" s="49">
        <v>0</v>
      </c>
      <c r="Z41" s="49">
        <v>0</v>
      </c>
      <c r="AA41" s="33">
        <v>0</v>
      </c>
      <c r="AB41" s="33">
        <v>0</v>
      </c>
      <c r="AC41" s="33"/>
      <c r="AD41" s="81">
        <v>0</v>
      </c>
      <c r="AE41" s="81">
        <v>0</v>
      </c>
      <c r="AF41" s="82">
        <v>0</v>
      </c>
      <c r="AG41" s="82">
        <v>0</v>
      </c>
      <c r="AH41" s="82"/>
      <c r="AI41" s="34">
        <v>0</v>
      </c>
      <c r="AJ41" s="34">
        <v>50</v>
      </c>
      <c r="AK41" s="34">
        <v>-50</v>
      </c>
      <c r="AL41" s="10">
        <v>0</v>
      </c>
      <c r="AM41" s="10">
        <v>200</v>
      </c>
      <c r="AN41" s="18">
        <f t="shared" si="4"/>
        <v>-200</v>
      </c>
      <c r="AO41" s="18" t="e">
        <f>#REF!-#REF!</f>
        <v>#REF!</v>
      </c>
      <c r="AP41" s="2"/>
    </row>
    <row r="42" spans="1:42" ht="13.5" customHeight="1" x14ac:dyDescent="0.25">
      <c r="C42" s="2" t="s">
        <v>145</v>
      </c>
      <c r="D42" s="146">
        <v>74301000</v>
      </c>
      <c r="E42" s="81"/>
      <c r="F42" s="81"/>
      <c r="G42" s="82"/>
      <c r="H42" s="82"/>
      <c r="I42" s="81"/>
      <c r="J42" s="81"/>
      <c r="K42" s="82"/>
      <c r="L42" s="82"/>
      <c r="M42" s="81"/>
      <c r="N42" s="81"/>
      <c r="O42" s="82"/>
      <c r="P42" s="82"/>
      <c r="Q42" s="81"/>
      <c r="R42" s="81"/>
      <c r="S42" s="82"/>
      <c r="T42" s="82"/>
      <c r="U42" s="46"/>
      <c r="V42" s="46"/>
      <c r="W42" s="33">
        <v>0</v>
      </c>
      <c r="X42" s="33">
        <v>0</v>
      </c>
      <c r="Y42" s="49">
        <v>0</v>
      </c>
      <c r="Z42" s="49">
        <v>0</v>
      </c>
      <c r="AA42" s="33">
        <v>0</v>
      </c>
      <c r="AB42" s="33">
        <v>0</v>
      </c>
      <c r="AC42" s="33"/>
      <c r="AD42" s="81">
        <v>0</v>
      </c>
      <c r="AE42" s="81">
        <v>0</v>
      </c>
      <c r="AF42" s="82">
        <v>0</v>
      </c>
      <c r="AG42" s="82">
        <v>0</v>
      </c>
      <c r="AH42" s="82"/>
      <c r="AI42" s="34"/>
      <c r="AJ42" s="34"/>
      <c r="AK42" s="34"/>
      <c r="AL42" s="10">
        <v>0</v>
      </c>
      <c r="AM42" s="10">
        <v>2042.59</v>
      </c>
      <c r="AN42" s="18">
        <f t="shared" si="4"/>
        <v>-2042.59</v>
      </c>
      <c r="AO42" s="18" t="e">
        <f>#REF!-#REF!</f>
        <v>#REF!</v>
      </c>
      <c r="AP42" s="54"/>
    </row>
    <row r="43" spans="1:42" ht="13.5" customHeight="1" x14ac:dyDescent="0.25">
      <c r="C43" s="2"/>
      <c r="D43" s="145"/>
      <c r="E43" s="81"/>
      <c r="F43" s="81"/>
      <c r="G43" s="82"/>
      <c r="H43" s="82"/>
      <c r="I43" s="81"/>
      <c r="J43" s="81"/>
      <c r="K43" s="82"/>
      <c r="L43" s="82"/>
      <c r="M43" s="81"/>
      <c r="N43" s="81"/>
      <c r="O43" s="82"/>
      <c r="P43" s="82"/>
      <c r="Q43" s="81"/>
      <c r="R43" s="81"/>
      <c r="S43" s="82"/>
      <c r="T43" s="82"/>
      <c r="U43" s="46"/>
      <c r="V43" s="46"/>
      <c r="W43" s="33"/>
      <c r="X43" s="33"/>
      <c r="Y43" s="42"/>
      <c r="Z43" s="42"/>
      <c r="AA43" s="33"/>
      <c r="AB43" s="33"/>
      <c r="AC43" s="33"/>
      <c r="AD43" s="81"/>
      <c r="AE43" s="81"/>
      <c r="AF43" s="82">
        <f>SUM(AF7:AF42)</f>
        <v>27295</v>
      </c>
      <c r="AG43" s="82"/>
      <c r="AH43" s="82"/>
      <c r="AI43" s="34"/>
      <c r="AJ43" s="34"/>
      <c r="AK43" s="34"/>
      <c r="AL43" s="10"/>
      <c r="AM43" s="10"/>
      <c r="AN43" s="18"/>
      <c r="AO43" s="18"/>
    </row>
    <row r="44" spans="1:42" x14ac:dyDescent="0.25">
      <c r="A44" s="3" t="s">
        <v>30</v>
      </c>
      <c r="B44" s="14" t="s">
        <v>2</v>
      </c>
      <c r="C44" s="14"/>
      <c r="D44" s="152"/>
      <c r="E44" s="78">
        <f>SUM(E46:E70)</f>
        <v>0</v>
      </c>
      <c r="F44" s="78">
        <f t="shared" ref="F44:H44" si="5">SUM(F46:F70)</f>
        <v>0</v>
      </c>
      <c r="G44" s="79">
        <f t="shared" si="5"/>
        <v>94156</v>
      </c>
      <c r="H44" s="79">
        <f t="shared" si="5"/>
        <v>212780</v>
      </c>
      <c r="I44" s="78">
        <f>SUM(I46:I70)</f>
        <v>73615.56</v>
      </c>
      <c r="J44" s="78">
        <f>SUM(J46:J70)</f>
        <v>204790</v>
      </c>
      <c r="K44" s="79">
        <f t="shared" ref="K44:L44" si="6">SUM(K46:K70)</f>
        <v>89068.2</v>
      </c>
      <c r="L44" s="79">
        <f t="shared" si="6"/>
        <v>185140</v>
      </c>
      <c r="M44" s="78">
        <f>SUM(M46:M70)</f>
        <v>83841.990000000005</v>
      </c>
      <c r="N44" s="78">
        <f t="shared" ref="N44:AB44" si="7">SUM(N46:N70)</f>
        <v>170432</v>
      </c>
      <c r="O44" s="79">
        <f t="shared" si="7"/>
        <v>69364</v>
      </c>
      <c r="P44" s="79">
        <f t="shared" si="7"/>
        <v>168565</v>
      </c>
      <c r="Q44" s="78">
        <f t="shared" si="7"/>
        <v>62931.369999999995</v>
      </c>
      <c r="R44" s="78">
        <f t="shared" si="7"/>
        <v>136690</v>
      </c>
      <c r="S44" s="79">
        <f t="shared" si="7"/>
        <v>70992</v>
      </c>
      <c r="T44" s="79">
        <f t="shared" si="7"/>
        <v>169810</v>
      </c>
      <c r="U44" s="45">
        <f t="shared" si="7"/>
        <v>44750.69</v>
      </c>
      <c r="V44" s="45">
        <f t="shared" si="7"/>
        <v>148168</v>
      </c>
      <c r="W44" s="31">
        <f t="shared" si="7"/>
        <v>51262</v>
      </c>
      <c r="X44" s="31">
        <f t="shared" si="7"/>
        <v>136862</v>
      </c>
      <c r="Y44" s="50">
        <f t="shared" si="7"/>
        <v>40971.78</v>
      </c>
      <c r="Z44" s="50">
        <f t="shared" si="7"/>
        <v>146960</v>
      </c>
      <c r="AA44" s="31">
        <f t="shared" si="7"/>
        <v>57818</v>
      </c>
      <c r="AB44" s="31">
        <f t="shared" si="7"/>
        <v>175500</v>
      </c>
      <c r="AC44" s="31"/>
      <c r="AD44" s="78">
        <f>SUM(AD46:AD70)</f>
        <v>40044.840000000011</v>
      </c>
      <c r="AE44" s="78">
        <f>SUM(AE46:AE70)</f>
        <v>97074</v>
      </c>
      <c r="AF44" s="79">
        <v>59930</v>
      </c>
      <c r="AG44" s="79">
        <f>SUM(AG46:AG70)</f>
        <v>101000</v>
      </c>
      <c r="AH44" s="79"/>
      <c r="AI44" s="80">
        <f t="shared" ref="AI44:AO44" si="8">SUM(AI46:AI68)</f>
        <v>59595.91</v>
      </c>
      <c r="AJ44" s="80">
        <f t="shared" si="8"/>
        <v>124150.92</v>
      </c>
      <c r="AK44" s="80">
        <f t="shared" si="8"/>
        <v>-64555.009999999995</v>
      </c>
      <c r="AL44" s="26">
        <f t="shared" si="8"/>
        <v>50999.360000000008</v>
      </c>
      <c r="AM44" s="7">
        <f t="shared" si="8"/>
        <v>147974.28999999998</v>
      </c>
      <c r="AN44" s="19">
        <f t="shared" si="8"/>
        <v>-96974.93</v>
      </c>
      <c r="AO44" s="6" t="e">
        <f t="shared" si="8"/>
        <v>#REF!</v>
      </c>
    </row>
    <row r="45" spans="1:42" x14ac:dyDescent="0.25">
      <c r="A45" s="4"/>
      <c r="B45" s="4"/>
      <c r="C45" s="4"/>
      <c r="D45" s="153"/>
      <c r="E45" s="78"/>
      <c r="F45" s="78">
        <f>F44-E44</f>
        <v>0</v>
      </c>
      <c r="G45" s="79"/>
      <c r="H45" s="79">
        <f>H44-G44</f>
        <v>118624</v>
      </c>
      <c r="I45" s="78"/>
      <c r="J45" s="78">
        <f>J44-I44</f>
        <v>131174.44</v>
      </c>
      <c r="K45" s="79"/>
      <c r="L45" s="79">
        <f>L44-K44</f>
        <v>96071.8</v>
      </c>
      <c r="M45" s="78"/>
      <c r="N45" s="78">
        <f>N44-M44</f>
        <v>86590.01</v>
      </c>
      <c r="O45" s="79"/>
      <c r="P45" s="79">
        <f>P44-O44</f>
        <v>99201</v>
      </c>
      <c r="Q45" s="78"/>
      <c r="R45" s="78">
        <f>R44-Q44</f>
        <v>73758.63</v>
      </c>
      <c r="S45" s="79"/>
      <c r="T45" s="79">
        <f>T44-S44</f>
        <v>98818</v>
      </c>
      <c r="U45" s="46"/>
      <c r="V45" s="45">
        <f>V44-U44</f>
        <v>103417.31</v>
      </c>
      <c r="W45" s="31"/>
      <c r="X45" s="31">
        <f>X44-W44</f>
        <v>85600</v>
      </c>
      <c r="Y45" s="41"/>
      <c r="Z45" s="51">
        <f>Z44-Y44</f>
        <v>105988.22</v>
      </c>
      <c r="AA45" s="31"/>
      <c r="AB45" s="31">
        <f>AB44-AA44</f>
        <v>117682</v>
      </c>
      <c r="AC45" s="31"/>
      <c r="AD45" s="78"/>
      <c r="AE45" s="78">
        <f>AE44-AD44</f>
        <v>57029.159999999989</v>
      </c>
      <c r="AF45" s="79"/>
      <c r="AG45" s="79">
        <f>AG44-AF44</f>
        <v>41070</v>
      </c>
      <c r="AH45" s="79"/>
      <c r="AI45" s="80"/>
      <c r="AJ45" s="80">
        <f>AJ44-AI44</f>
        <v>64555.009999999995</v>
      </c>
      <c r="AK45" s="80"/>
      <c r="AL45" s="28"/>
      <c r="AM45" s="9">
        <f>AM44-AL44</f>
        <v>96974.929999999964</v>
      </c>
      <c r="AN45" s="22"/>
      <c r="AO45" s="8"/>
      <c r="AP45" s="54"/>
    </row>
    <row r="46" spans="1:42" x14ac:dyDescent="0.25">
      <c r="C46" s="103" t="s">
        <v>731</v>
      </c>
      <c r="D46" s="145" t="s">
        <v>11</v>
      </c>
      <c r="E46" s="81"/>
      <c r="F46" s="81"/>
      <c r="G46" s="82">
        <v>30741</v>
      </c>
      <c r="H46" s="82"/>
      <c r="I46" s="81">
        <v>24617.7</v>
      </c>
      <c r="J46" s="81"/>
      <c r="K46" s="82">
        <f>(L65+L66+L70)*0.13</f>
        <v>24068.2</v>
      </c>
      <c r="L46" s="82"/>
      <c r="M46" s="81">
        <v>21622.07</v>
      </c>
      <c r="N46" s="81"/>
      <c r="O46" s="82">
        <v>20500</v>
      </c>
      <c r="P46" s="82"/>
      <c r="Q46" s="81">
        <f>4475.79+13698.86</f>
        <v>18174.650000000001</v>
      </c>
      <c r="R46" s="81"/>
      <c r="S46" s="82">
        <f>(19042*0.25)+14281.5</f>
        <v>19042</v>
      </c>
      <c r="T46" s="82"/>
      <c r="U46" s="46">
        <f>1455.93+4181.97</f>
        <v>5637.9000000000005</v>
      </c>
      <c r="V46" s="46"/>
      <c r="W46" s="33">
        <f>1800+6652</f>
        <v>8452</v>
      </c>
      <c r="X46" s="33">
        <v>0</v>
      </c>
      <c r="Y46" s="47">
        <v>87.12</v>
      </c>
      <c r="Z46" s="48">
        <v>0</v>
      </c>
      <c r="AA46" s="33">
        <v>5000</v>
      </c>
      <c r="AB46" s="33">
        <v>0</v>
      </c>
      <c r="AC46" s="33"/>
      <c r="AD46" s="81">
        <v>4922.28</v>
      </c>
      <c r="AE46" s="81">
        <v>0</v>
      </c>
      <c r="AF46" s="82">
        <v>5000</v>
      </c>
      <c r="AG46" s="82">
        <v>0</v>
      </c>
      <c r="AH46" s="82"/>
      <c r="AI46" s="34">
        <f>10461.97-106.18</f>
        <v>10355.789999999999</v>
      </c>
      <c r="AJ46" s="34">
        <v>0</v>
      </c>
      <c r="AK46" s="34">
        <v>10355.790000000001</v>
      </c>
      <c r="AL46" s="10">
        <v>7413.75</v>
      </c>
      <c r="AM46" s="10">
        <v>0</v>
      </c>
      <c r="AN46" s="18">
        <f>AL46-AM46</f>
        <v>7413.75</v>
      </c>
      <c r="AO46" s="18" t="e">
        <f>#REF!-#REF!</f>
        <v>#REF!</v>
      </c>
      <c r="AP46" s="144"/>
    </row>
    <row r="47" spans="1:42" x14ac:dyDescent="0.25">
      <c r="C47" t="s">
        <v>34</v>
      </c>
      <c r="D47" s="145" t="s">
        <v>96</v>
      </c>
      <c r="E47" s="81"/>
      <c r="F47" s="81"/>
      <c r="G47" s="82"/>
      <c r="H47" s="82"/>
      <c r="I47" s="81"/>
      <c r="J47" s="81"/>
      <c r="K47" s="82"/>
      <c r="L47" s="82"/>
      <c r="M47" s="81"/>
      <c r="N47" s="81"/>
      <c r="O47" s="82"/>
      <c r="P47" s="82"/>
      <c r="Q47" s="81"/>
      <c r="R47" s="81"/>
      <c r="S47" s="82"/>
      <c r="T47" s="82"/>
      <c r="U47" s="46"/>
      <c r="V47" s="46"/>
      <c r="W47" s="33">
        <v>0</v>
      </c>
      <c r="X47" s="33">
        <v>0</v>
      </c>
      <c r="Y47" s="47">
        <v>0</v>
      </c>
      <c r="Z47" s="48">
        <v>0</v>
      </c>
      <c r="AA47" s="33">
        <v>0</v>
      </c>
      <c r="AB47" s="33">
        <v>0</v>
      </c>
      <c r="AC47" s="33"/>
      <c r="AD47" s="81">
        <v>1113.8</v>
      </c>
      <c r="AE47" s="81">
        <v>0</v>
      </c>
      <c r="AF47" s="82">
        <v>2500</v>
      </c>
      <c r="AG47" s="82">
        <v>0</v>
      </c>
      <c r="AH47" s="82"/>
      <c r="AI47" s="34">
        <v>3641.4</v>
      </c>
      <c r="AJ47" s="34">
        <v>0</v>
      </c>
      <c r="AK47" s="34">
        <v>3641.4</v>
      </c>
      <c r="AL47" s="10">
        <v>3477.5</v>
      </c>
      <c r="AM47" s="10">
        <v>0</v>
      </c>
      <c r="AN47" s="18">
        <f t="shared" ref="AN47:AN68" si="9">AL47-AM47</f>
        <v>3477.5</v>
      </c>
      <c r="AO47" s="18" t="e">
        <f>#REF!-#REF!</f>
        <v>#REF!</v>
      </c>
      <c r="AP47" s="103"/>
    </row>
    <row r="48" spans="1:42" x14ac:dyDescent="0.25">
      <c r="C48" t="s">
        <v>165</v>
      </c>
      <c r="D48" s="145" t="s">
        <v>89</v>
      </c>
      <c r="E48" s="81"/>
      <c r="F48" s="81"/>
      <c r="G48" s="82"/>
      <c r="H48" s="82"/>
      <c r="I48" s="81"/>
      <c r="J48" s="81"/>
      <c r="K48" s="82"/>
      <c r="L48" s="82"/>
      <c r="M48" s="81"/>
      <c r="N48" s="81"/>
      <c r="O48" s="82">
        <v>0</v>
      </c>
      <c r="P48" s="82"/>
      <c r="Q48" s="81"/>
      <c r="R48" s="81"/>
      <c r="S48" s="82"/>
      <c r="T48" s="82"/>
      <c r="U48" s="46"/>
      <c r="V48" s="46"/>
      <c r="W48" s="33">
        <f>1000/2</f>
        <v>500</v>
      </c>
      <c r="X48" s="33">
        <v>0</v>
      </c>
      <c r="Y48" s="47">
        <v>0</v>
      </c>
      <c r="Z48" s="48">
        <v>0</v>
      </c>
      <c r="AA48" s="33">
        <v>1000</v>
      </c>
      <c r="AB48" s="33">
        <v>0</v>
      </c>
      <c r="AC48" s="33"/>
      <c r="AD48" s="81">
        <v>0</v>
      </c>
      <c r="AE48" s="81">
        <v>0</v>
      </c>
      <c r="AF48" s="82">
        <v>400</v>
      </c>
      <c r="AG48" s="82">
        <v>0</v>
      </c>
      <c r="AH48" s="82"/>
      <c r="AI48" s="34">
        <v>394.28</v>
      </c>
      <c r="AJ48" s="34">
        <v>0</v>
      </c>
      <c r="AK48" s="34">
        <v>394.28</v>
      </c>
      <c r="AL48" s="10">
        <v>0</v>
      </c>
      <c r="AM48" s="10">
        <v>0</v>
      </c>
      <c r="AN48" s="18">
        <f t="shared" si="9"/>
        <v>0</v>
      </c>
      <c r="AO48" s="18" t="e">
        <f>#REF!-#REF!</f>
        <v>#REF!</v>
      </c>
    </row>
    <row r="49" spans="3:44" x14ac:dyDescent="0.25">
      <c r="C49" t="s">
        <v>24</v>
      </c>
      <c r="D49" s="145" t="s">
        <v>80</v>
      </c>
      <c r="E49" s="81"/>
      <c r="F49" s="81"/>
      <c r="G49" s="82">
        <v>1000</v>
      </c>
      <c r="H49" s="82"/>
      <c r="I49" s="81">
        <v>500</v>
      </c>
      <c r="J49" s="81"/>
      <c r="K49" s="82">
        <v>1500</v>
      </c>
      <c r="L49" s="82"/>
      <c r="M49" s="81">
        <v>700</v>
      </c>
      <c r="N49" s="81"/>
      <c r="O49" s="82">
        <v>1500</v>
      </c>
      <c r="P49" s="82"/>
      <c r="Q49" s="81">
        <v>1000</v>
      </c>
      <c r="R49" s="81"/>
      <c r="S49" s="82">
        <v>0</v>
      </c>
      <c r="T49" s="82"/>
      <c r="U49" s="46"/>
      <c r="V49" s="46"/>
      <c r="W49" s="33">
        <v>800</v>
      </c>
      <c r="X49" s="33">
        <v>0</v>
      </c>
      <c r="Y49" s="47">
        <v>600</v>
      </c>
      <c r="Z49" s="48">
        <v>0</v>
      </c>
      <c r="AA49" s="33">
        <v>600</v>
      </c>
      <c r="AB49" s="33">
        <v>0</v>
      </c>
      <c r="AC49" s="33"/>
      <c r="AD49" s="81">
        <v>700</v>
      </c>
      <c r="AE49" s="81">
        <v>0</v>
      </c>
      <c r="AF49" s="82">
        <v>600</v>
      </c>
      <c r="AG49" s="82">
        <v>0</v>
      </c>
      <c r="AH49" s="82"/>
      <c r="AI49" s="34">
        <v>600</v>
      </c>
      <c r="AJ49" s="34">
        <v>0</v>
      </c>
      <c r="AK49" s="34">
        <v>600</v>
      </c>
      <c r="AL49" s="10">
        <v>0</v>
      </c>
      <c r="AM49" s="10">
        <v>0</v>
      </c>
      <c r="AN49" s="18">
        <f t="shared" si="9"/>
        <v>0</v>
      </c>
      <c r="AO49" s="18" t="e">
        <f>#REF!-#REF!</f>
        <v>#REF!</v>
      </c>
    </row>
    <row r="50" spans="3:44" x14ac:dyDescent="0.25">
      <c r="C50" t="s">
        <v>29</v>
      </c>
      <c r="D50" s="145" t="s">
        <v>75</v>
      </c>
      <c r="E50" s="81"/>
      <c r="F50" s="81"/>
      <c r="G50" s="82">
        <v>600</v>
      </c>
      <c r="H50" s="82"/>
      <c r="I50" s="81">
        <v>554.99</v>
      </c>
      <c r="J50" s="81"/>
      <c r="K50" s="82">
        <v>150</v>
      </c>
      <c r="L50" s="82"/>
      <c r="M50" s="81">
        <v>102.49</v>
      </c>
      <c r="N50" s="81"/>
      <c r="O50" s="82">
        <v>150</v>
      </c>
      <c r="P50" s="82"/>
      <c r="Q50" s="81">
        <v>130.94</v>
      </c>
      <c r="R50" s="81"/>
      <c r="S50" s="82"/>
      <c r="T50" s="82"/>
      <c r="U50" s="46">
        <v>209.3</v>
      </c>
      <c r="V50" s="46"/>
      <c r="W50" s="33">
        <v>800</v>
      </c>
      <c r="X50" s="33">
        <v>0</v>
      </c>
      <c r="Y50" s="47">
        <v>1354.8</v>
      </c>
      <c r="Z50" s="48">
        <v>0</v>
      </c>
      <c r="AA50" s="33">
        <v>800</v>
      </c>
      <c r="AB50" s="33">
        <v>0</v>
      </c>
      <c r="AC50" s="33"/>
      <c r="AD50" s="81">
        <v>295.83999999999997</v>
      </c>
      <c r="AE50" s="81">
        <v>0</v>
      </c>
      <c r="AF50" s="82">
        <v>350</v>
      </c>
      <c r="AG50" s="82">
        <v>0</v>
      </c>
      <c r="AH50" s="82"/>
      <c r="AI50" s="34">
        <v>305.22000000000003</v>
      </c>
      <c r="AJ50" s="34">
        <v>0</v>
      </c>
      <c r="AK50" s="34">
        <v>305.22000000000003</v>
      </c>
      <c r="AL50" s="10">
        <f>213+1915.72</f>
        <v>2128.7200000000003</v>
      </c>
      <c r="AM50" s="10">
        <v>0</v>
      </c>
      <c r="AN50" s="18">
        <f t="shared" si="9"/>
        <v>2128.7200000000003</v>
      </c>
      <c r="AO50" s="18" t="e">
        <f>#REF!-#REF!</f>
        <v>#REF!</v>
      </c>
    </row>
    <row r="51" spans="3:44" x14ac:dyDescent="0.25">
      <c r="C51" t="s">
        <v>238</v>
      </c>
      <c r="D51" s="145" t="s">
        <v>120</v>
      </c>
      <c r="E51" s="81"/>
      <c r="F51" s="81"/>
      <c r="G51" s="82"/>
      <c r="H51" s="82"/>
      <c r="I51" s="81">
        <v>20398.900000000001</v>
      </c>
      <c r="J51" s="81"/>
      <c r="K51" s="82">
        <v>55000</v>
      </c>
      <c r="L51" s="82"/>
      <c r="M51" s="81">
        <v>53114.41</v>
      </c>
      <c r="N51" s="81"/>
      <c r="O51" s="82"/>
      <c r="P51" s="82"/>
      <c r="Q51" s="81">
        <v>43601.31</v>
      </c>
      <c r="R51" s="81"/>
      <c r="S51" s="82">
        <v>20250</v>
      </c>
      <c r="T51" s="82"/>
      <c r="U51" s="46">
        <v>0</v>
      </c>
      <c r="V51" s="46"/>
      <c r="W51" s="33">
        <v>0</v>
      </c>
      <c r="X51" s="33">
        <v>0</v>
      </c>
      <c r="Y51" s="47">
        <v>15519.75</v>
      </c>
      <c r="Z51" s="48">
        <v>0</v>
      </c>
      <c r="AA51" s="33">
        <v>19890</v>
      </c>
      <c r="AB51" s="33">
        <v>0</v>
      </c>
      <c r="AC51" s="33"/>
      <c r="AD51" s="81">
        <v>27350.55</v>
      </c>
      <c r="AE51" s="81">
        <v>0</v>
      </c>
      <c r="AF51" s="82">
        <v>31000</v>
      </c>
      <c r="AG51" s="82">
        <v>0</v>
      </c>
      <c r="AH51" s="82"/>
      <c r="AI51" s="34">
        <v>31426.36</v>
      </c>
      <c r="AJ51" s="34">
        <v>0</v>
      </c>
      <c r="AK51" s="34">
        <v>31426.36</v>
      </c>
      <c r="AL51" s="10">
        <v>0</v>
      </c>
      <c r="AM51" s="10">
        <v>0</v>
      </c>
      <c r="AN51" s="18">
        <f t="shared" si="9"/>
        <v>0</v>
      </c>
      <c r="AO51" s="18" t="e">
        <f>#REF!-#REF!</f>
        <v>#REF!</v>
      </c>
    </row>
    <row r="52" spans="3:44" x14ac:dyDescent="0.25">
      <c r="C52" t="s">
        <v>172</v>
      </c>
      <c r="D52" s="145"/>
      <c r="E52" s="81"/>
      <c r="F52" s="81"/>
      <c r="G52" s="82"/>
      <c r="H52" s="82"/>
      <c r="I52" s="81">
        <v>17600</v>
      </c>
      <c r="J52" s="81"/>
      <c r="K52" s="82"/>
      <c r="L52" s="82"/>
      <c r="M52" s="81"/>
      <c r="N52" s="81"/>
      <c r="O52" s="82"/>
      <c r="P52" s="82"/>
      <c r="Q52" s="81"/>
      <c r="R52" s="81"/>
      <c r="S52" s="82">
        <v>18225</v>
      </c>
      <c r="T52" s="82"/>
      <c r="U52" s="46">
        <v>900</v>
      </c>
      <c r="V52" s="46"/>
      <c r="W52" s="33">
        <v>0</v>
      </c>
      <c r="X52" s="33">
        <v>0</v>
      </c>
      <c r="Y52" s="47">
        <v>12149.13</v>
      </c>
      <c r="Z52" s="48">
        <v>0</v>
      </c>
      <c r="AA52" s="33">
        <v>15912</v>
      </c>
      <c r="AB52" s="33">
        <v>0</v>
      </c>
      <c r="AC52" s="33"/>
      <c r="AD52" s="81">
        <v>0</v>
      </c>
      <c r="AE52" s="81">
        <v>0</v>
      </c>
      <c r="AF52" s="82">
        <v>0</v>
      </c>
      <c r="AG52" s="82">
        <v>0</v>
      </c>
      <c r="AH52" s="82"/>
      <c r="AI52" s="34">
        <v>0</v>
      </c>
      <c r="AJ52" s="34">
        <v>0</v>
      </c>
      <c r="AK52" s="34"/>
      <c r="AL52" s="10"/>
      <c r="AM52" s="10"/>
      <c r="AN52" s="18"/>
      <c r="AO52" s="18"/>
      <c r="AP52" s="2"/>
      <c r="AQ52" s="61"/>
      <c r="AR52" s="142"/>
    </row>
    <row r="53" spans="3:44" x14ac:dyDescent="0.25">
      <c r="C53" t="s">
        <v>757</v>
      </c>
      <c r="D53" s="145"/>
      <c r="E53" s="81"/>
      <c r="F53" s="81"/>
      <c r="G53" s="180"/>
      <c r="H53" s="82"/>
      <c r="I53" s="81">
        <v>6050</v>
      </c>
      <c r="J53" s="81"/>
      <c r="K53" s="82"/>
      <c r="L53" s="82"/>
      <c r="M53" s="81"/>
      <c r="N53" s="81"/>
      <c r="O53" s="82">
        <v>6564</v>
      </c>
      <c r="P53" s="82"/>
      <c r="Q53" s="81"/>
      <c r="R53" s="81"/>
      <c r="S53" s="82">
        <v>6075</v>
      </c>
      <c r="T53" s="82"/>
      <c r="U53" s="46">
        <v>4356</v>
      </c>
      <c r="V53" s="46"/>
      <c r="W53" s="33">
        <v>4356</v>
      </c>
      <c r="X53" s="33">
        <v>0</v>
      </c>
      <c r="Y53" s="47">
        <v>6534</v>
      </c>
      <c r="Z53" s="48">
        <v>0</v>
      </c>
      <c r="AA53" s="33">
        <v>8712</v>
      </c>
      <c r="AB53" s="33">
        <v>0</v>
      </c>
      <c r="AC53" s="33"/>
      <c r="AD53" s="81">
        <v>0</v>
      </c>
      <c r="AE53" s="81">
        <v>0</v>
      </c>
      <c r="AF53" s="82">
        <v>0</v>
      </c>
      <c r="AG53" s="82">
        <v>0</v>
      </c>
      <c r="AH53" s="82"/>
      <c r="AI53" s="34">
        <v>0</v>
      </c>
      <c r="AJ53" s="34">
        <v>0</v>
      </c>
      <c r="AK53" s="34"/>
      <c r="AL53" s="10"/>
      <c r="AM53" s="10"/>
      <c r="AN53" s="18"/>
      <c r="AO53" s="18"/>
      <c r="AP53" s="103"/>
    </row>
    <row r="54" spans="3:44" x14ac:dyDescent="0.25">
      <c r="C54" t="s">
        <v>181</v>
      </c>
      <c r="D54" s="145"/>
      <c r="E54" s="81"/>
      <c r="F54" s="81"/>
      <c r="G54" s="180">
        <v>27000</v>
      </c>
      <c r="H54" s="82"/>
      <c r="I54" s="81"/>
      <c r="J54" s="81"/>
      <c r="K54" s="82"/>
      <c r="L54" s="82"/>
      <c r="M54" s="81"/>
      <c r="N54" s="81"/>
      <c r="O54" s="82">
        <v>23000</v>
      </c>
      <c r="P54" s="82"/>
      <c r="Q54" s="81"/>
      <c r="R54" s="81"/>
      <c r="S54" s="82"/>
      <c r="T54" s="82"/>
      <c r="U54" s="46">
        <v>22185.99</v>
      </c>
      <c r="V54" s="46"/>
      <c r="W54" s="33">
        <v>16907</v>
      </c>
      <c r="X54" s="33">
        <v>0</v>
      </c>
      <c r="Y54" s="47">
        <v>0</v>
      </c>
      <c r="Z54" s="48">
        <v>0</v>
      </c>
      <c r="AA54" s="33">
        <v>0</v>
      </c>
      <c r="AB54" s="33">
        <v>0</v>
      </c>
      <c r="AC54" s="33"/>
      <c r="AD54" s="81">
        <v>0</v>
      </c>
      <c r="AE54" s="81">
        <v>0</v>
      </c>
      <c r="AF54" s="82">
        <v>0</v>
      </c>
      <c r="AG54" s="82">
        <v>0</v>
      </c>
      <c r="AH54" s="82"/>
      <c r="AI54" s="34"/>
      <c r="AJ54" s="34"/>
      <c r="AK54" s="34"/>
      <c r="AL54" s="10"/>
      <c r="AM54" s="10"/>
      <c r="AN54" s="18"/>
      <c r="AO54" s="18"/>
    </row>
    <row r="55" spans="3:44" x14ac:dyDescent="0.25">
      <c r="C55" t="s">
        <v>363</v>
      </c>
      <c r="D55" s="145"/>
      <c r="E55" s="81"/>
      <c r="F55" s="81"/>
      <c r="G55" s="180">
        <v>26950</v>
      </c>
      <c r="H55" s="82"/>
      <c r="I55" s="81"/>
      <c r="J55" s="81"/>
      <c r="K55" s="82"/>
      <c r="L55" s="82"/>
      <c r="M55" s="81"/>
      <c r="N55" s="81"/>
      <c r="O55" s="82">
        <v>12000</v>
      </c>
      <c r="P55" s="82"/>
      <c r="Q55" s="81"/>
      <c r="R55" s="81"/>
      <c r="S55" s="82"/>
      <c r="T55" s="82"/>
      <c r="U55" s="46">
        <v>11461.5</v>
      </c>
      <c r="V55" s="46"/>
      <c r="W55" s="33">
        <v>14918</v>
      </c>
      <c r="X55" s="33">
        <v>0</v>
      </c>
      <c r="Y55" s="47">
        <v>0</v>
      </c>
      <c r="Z55" s="48">
        <v>0</v>
      </c>
      <c r="AA55" s="33">
        <v>0</v>
      </c>
      <c r="AB55" s="33">
        <v>0</v>
      </c>
      <c r="AC55" s="33"/>
      <c r="AD55" s="81">
        <v>0</v>
      </c>
      <c r="AE55" s="81">
        <v>0</v>
      </c>
      <c r="AF55" s="82">
        <v>0</v>
      </c>
      <c r="AG55" s="82">
        <v>0</v>
      </c>
      <c r="AH55" s="82"/>
      <c r="AI55" s="34"/>
      <c r="AJ55" s="34"/>
      <c r="AK55" s="34"/>
      <c r="AL55" s="10"/>
      <c r="AM55" s="10"/>
      <c r="AN55" s="18"/>
      <c r="AO55" s="18"/>
    </row>
    <row r="56" spans="3:44" x14ac:dyDescent="0.25">
      <c r="C56" t="s">
        <v>758</v>
      </c>
      <c r="D56" s="145"/>
      <c r="E56" s="81"/>
      <c r="F56" s="81"/>
      <c r="G56" s="82">
        <v>6050</v>
      </c>
      <c r="H56" s="82"/>
      <c r="I56" s="81"/>
      <c r="J56" s="81"/>
      <c r="K56" s="82"/>
      <c r="L56" s="82"/>
      <c r="M56" s="81"/>
      <c r="N56" s="81"/>
      <c r="O56" s="82">
        <v>5500</v>
      </c>
      <c r="P56" s="82"/>
      <c r="Q56" s="81"/>
      <c r="R56" s="81"/>
      <c r="S56" s="82">
        <v>5400</v>
      </c>
      <c r="T56" s="82"/>
      <c r="U56" s="46"/>
      <c r="V56" s="46"/>
      <c r="W56" s="33"/>
      <c r="X56" s="33"/>
      <c r="Y56" s="47"/>
      <c r="Z56" s="48"/>
      <c r="AA56" s="33"/>
      <c r="AB56" s="33"/>
      <c r="AC56" s="33"/>
      <c r="AD56" s="81"/>
      <c r="AE56" s="81"/>
      <c r="AF56" s="82"/>
      <c r="AG56" s="82"/>
      <c r="AH56" s="82"/>
      <c r="AI56" s="34"/>
      <c r="AJ56" s="34"/>
      <c r="AK56" s="34"/>
      <c r="AL56" s="10"/>
      <c r="AM56" s="10"/>
      <c r="AN56" s="18"/>
      <c r="AO56" s="18"/>
    </row>
    <row r="57" spans="3:44" x14ac:dyDescent="0.25">
      <c r="C57" t="s">
        <v>124</v>
      </c>
      <c r="D57" s="145" t="s">
        <v>113</v>
      </c>
      <c r="E57" s="81"/>
      <c r="F57" s="81"/>
      <c r="G57" s="82"/>
      <c r="H57" s="82"/>
      <c r="I57" s="81"/>
      <c r="J57" s="81"/>
      <c r="K57" s="82">
        <v>4200</v>
      </c>
      <c r="L57" s="82"/>
      <c r="M57" s="81">
        <v>4174.5</v>
      </c>
      <c r="N57" s="81"/>
      <c r="O57" s="82"/>
      <c r="P57" s="82"/>
      <c r="Q57" s="81"/>
      <c r="R57" s="81"/>
      <c r="S57" s="82"/>
      <c r="T57" s="82"/>
      <c r="U57" s="46"/>
      <c r="V57" s="46"/>
      <c r="W57" s="33">
        <v>125</v>
      </c>
      <c r="X57" s="33">
        <v>0</v>
      </c>
      <c r="Y57" s="47">
        <v>163.24</v>
      </c>
      <c r="Z57" s="48">
        <v>0</v>
      </c>
      <c r="AA57" s="33">
        <v>0</v>
      </c>
      <c r="AB57" s="33">
        <v>0</v>
      </c>
      <c r="AC57" s="33"/>
      <c r="AD57" s="81">
        <v>127.05</v>
      </c>
      <c r="AE57" s="81">
        <v>0</v>
      </c>
      <c r="AF57" s="82">
        <v>290</v>
      </c>
      <c r="AG57" s="82">
        <v>0</v>
      </c>
      <c r="AH57" s="82"/>
      <c r="AI57" s="34">
        <v>285</v>
      </c>
      <c r="AJ57" s="34">
        <v>0</v>
      </c>
      <c r="AK57" s="34">
        <v>285</v>
      </c>
      <c r="AL57" s="10">
        <v>30016.400000000001</v>
      </c>
      <c r="AM57" s="10">
        <v>0</v>
      </c>
      <c r="AN57" s="18">
        <f t="shared" si="9"/>
        <v>30016.400000000001</v>
      </c>
      <c r="AO57" s="18" t="e">
        <f>#REF!-#REF!</f>
        <v>#REF!</v>
      </c>
    </row>
    <row r="58" spans="3:44" x14ac:dyDescent="0.25">
      <c r="C58" t="s">
        <v>33</v>
      </c>
      <c r="D58" s="145" t="s">
        <v>104</v>
      </c>
      <c r="E58" s="81"/>
      <c r="F58" s="81"/>
      <c r="G58" s="82"/>
      <c r="H58" s="82"/>
      <c r="I58" s="81">
        <v>3698.97</v>
      </c>
      <c r="J58" s="81"/>
      <c r="K58" s="82">
        <v>4150</v>
      </c>
      <c r="L58" s="82"/>
      <c r="M58" s="81">
        <v>4128.5200000000004</v>
      </c>
      <c r="N58" s="81"/>
      <c r="O58" s="82"/>
      <c r="P58" s="82"/>
      <c r="Q58" s="81"/>
      <c r="R58" s="81"/>
      <c r="S58" s="82"/>
      <c r="T58" s="82"/>
      <c r="U58" s="46"/>
      <c r="V58" s="46"/>
      <c r="W58" s="33">
        <v>3404</v>
      </c>
      <c r="X58" s="33">
        <v>0</v>
      </c>
      <c r="Y58" s="47">
        <v>3403.73</v>
      </c>
      <c r="Z58" s="48">
        <v>0</v>
      </c>
      <c r="AA58" s="33">
        <v>3404</v>
      </c>
      <c r="AB58" s="33">
        <v>0</v>
      </c>
      <c r="AC58" s="33"/>
      <c r="AD58" s="81">
        <v>3177.76</v>
      </c>
      <c r="AE58" s="81">
        <v>0</v>
      </c>
      <c r="AF58" s="82">
        <v>5000</v>
      </c>
      <c r="AG58" s="82">
        <v>0</v>
      </c>
      <c r="AH58" s="82"/>
      <c r="AI58" s="34">
        <v>363</v>
      </c>
      <c r="AJ58" s="34">
        <v>0</v>
      </c>
      <c r="AK58" s="34">
        <v>363</v>
      </c>
      <c r="AL58" s="10">
        <v>4303.7299999999996</v>
      </c>
      <c r="AM58" s="10">
        <v>0</v>
      </c>
      <c r="AN58" s="18">
        <f t="shared" si="9"/>
        <v>4303.7299999999996</v>
      </c>
      <c r="AO58" s="18" t="e">
        <f>#REF!-#REF!</f>
        <v>#REF!</v>
      </c>
    </row>
    <row r="59" spans="3:44" x14ac:dyDescent="0.25">
      <c r="C59" t="s">
        <v>752</v>
      </c>
      <c r="D59" s="145">
        <v>61243000</v>
      </c>
      <c r="E59" s="81"/>
      <c r="F59" s="81"/>
      <c r="G59" s="82">
        <v>1815</v>
      </c>
      <c r="H59" s="82"/>
      <c r="I59" s="81"/>
      <c r="J59" s="81"/>
      <c r="K59" s="82"/>
      <c r="L59" s="82"/>
      <c r="M59" s="81"/>
      <c r="N59" s="81"/>
      <c r="O59" s="82"/>
      <c r="P59" s="82"/>
      <c r="Q59" s="81"/>
      <c r="R59" s="81"/>
      <c r="S59" s="82"/>
      <c r="T59" s="82"/>
      <c r="U59" s="46"/>
      <c r="V59" s="46"/>
      <c r="W59" s="33"/>
      <c r="X59" s="33"/>
      <c r="Y59" s="47"/>
      <c r="Z59" s="48"/>
      <c r="AA59" s="33"/>
      <c r="AB59" s="33"/>
      <c r="AC59" s="33"/>
      <c r="AD59" s="81"/>
      <c r="AE59" s="81"/>
      <c r="AF59" s="82"/>
      <c r="AG59" s="82"/>
      <c r="AH59" s="82"/>
      <c r="AI59" s="34"/>
      <c r="AJ59" s="34"/>
      <c r="AK59" s="34"/>
      <c r="AL59" s="10"/>
      <c r="AM59" s="10"/>
      <c r="AN59" s="18"/>
      <c r="AO59" s="18"/>
    </row>
    <row r="60" spans="3:44" x14ac:dyDescent="0.25">
      <c r="C60" t="s">
        <v>129</v>
      </c>
      <c r="D60" s="145" t="s">
        <v>72</v>
      </c>
      <c r="E60" s="81"/>
      <c r="F60" s="81"/>
      <c r="G60" s="82"/>
      <c r="H60" s="82"/>
      <c r="I60" s="81"/>
      <c r="J60" s="81"/>
      <c r="K60" s="82"/>
      <c r="L60" s="82"/>
      <c r="M60" s="81"/>
      <c r="N60" s="81"/>
      <c r="O60" s="82"/>
      <c r="P60" s="82"/>
      <c r="Q60" s="81"/>
      <c r="R60" s="81"/>
      <c r="S60" s="82"/>
      <c r="T60" s="82"/>
      <c r="U60" s="46"/>
      <c r="V60" s="46"/>
      <c r="W60" s="33">
        <v>0</v>
      </c>
      <c r="X60" s="33">
        <v>0</v>
      </c>
      <c r="Y60" s="47">
        <v>0</v>
      </c>
      <c r="Z60" s="48">
        <v>0</v>
      </c>
      <c r="AA60" s="33">
        <v>0</v>
      </c>
      <c r="AB60" s="33">
        <v>0</v>
      </c>
      <c r="AC60" s="33"/>
      <c r="AD60" s="81">
        <v>0</v>
      </c>
      <c r="AE60" s="81">
        <v>0</v>
      </c>
      <c r="AF60" s="82">
        <v>2000</v>
      </c>
      <c r="AG60" s="82">
        <v>0</v>
      </c>
      <c r="AH60" s="82"/>
      <c r="AI60" s="34">
        <v>320</v>
      </c>
      <c r="AJ60" s="34">
        <v>0</v>
      </c>
      <c r="AK60" s="34">
        <v>320</v>
      </c>
      <c r="AL60" s="10">
        <f>3076.02+583.24</f>
        <v>3659.26</v>
      </c>
      <c r="AM60" s="10">
        <v>0</v>
      </c>
      <c r="AN60" s="18">
        <f t="shared" si="9"/>
        <v>3659.26</v>
      </c>
      <c r="AO60" s="18" t="e">
        <f>#REF!-#REF!</f>
        <v>#REF!</v>
      </c>
      <c r="AP60" s="25"/>
      <c r="AQ60" s="54"/>
    </row>
    <row r="61" spans="3:44" x14ac:dyDescent="0.25">
      <c r="C61" t="s">
        <v>23</v>
      </c>
      <c r="D61" s="145" t="s">
        <v>61</v>
      </c>
      <c r="E61" s="81"/>
      <c r="F61" s="81"/>
      <c r="G61" s="82"/>
      <c r="H61" s="82"/>
      <c r="I61" s="81"/>
      <c r="J61" s="81"/>
      <c r="K61" s="82"/>
      <c r="L61" s="82"/>
      <c r="M61" s="81"/>
      <c r="N61" s="81"/>
      <c r="O61" s="82"/>
      <c r="P61" s="82"/>
      <c r="Q61" s="81"/>
      <c r="R61" s="81"/>
      <c r="S61" s="82"/>
      <c r="T61" s="82"/>
      <c r="U61" s="46"/>
      <c r="V61" s="46"/>
      <c r="W61" s="33">
        <v>0</v>
      </c>
      <c r="X61" s="33">
        <v>0</v>
      </c>
      <c r="Y61" s="47">
        <v>0</v>
      </c>
      <c r="Z61" s="48">
        <v>0</v>
      </c>
      <c r="AA61" s="33">
        <v>0</v>
      </c>
      <c r="AB61" s="33">
        <v>0</v>
      </c>
      <c r="AC61" s="33"/>
      <c r="AD61" s="81">
        <v>136.37</v>
      </c>
      <c r="AE61" s="81">
        <v>0</v>
      </c>
      <c r="AF61" s="82">
        <v>290</v>
      </c>
      <c r="AG61" s="82">
        <v>0</v>
      </c>
      <c r="AH61" s="82"/>
      <c r="AI61" s="34">
        <v>282.8</v>
      </c>
      <c r="AJ61" s="34">
        <v>0</v>
      </c>
      <c r="AK61" s="34">
        <v>282.8</v>
      </c>
      <c r="AL61" s="10">
        <v>0</v>
      </c>
      <c r="AM61" s="10">
        <v>0</v>
      </c>
      <c r="AN61" s="18">
        <f t="shared" si="9"/>
        <v>0</v>
      </c>
      <c r="AO61" s="18" t="e">
        <f>#REF!-#REF!</f>
        <v>#REF!</v>
      </c>
    </row>
    <row r="62" spans="3:44" x14ac:dyDescent="0.25">
      <c r="C62" t="s">
        <v>138</v>
      </c>
      <c r="D62" s="145" t="s">
        <v>26</v>
      </c>
      <c r="E62" s="81"/>
      <c r="F62" s="81"/>
      <c r="G62" s="82"/>
      <c r="H62" s="82"/>
      <c r="I62" s="81"/>
      <c r="J62" s="81"/>
      <c r="K62" s="82"/>
      <c r="L62" s="82"/>
      <c r="M62" s="81"/>
      <c r="N62" s="81"/>
      <c r="O62" s="82">
        <v>150</v>
      </c>
      <c r="P62" s="82"/>
      <c r="Q62" s="81">
        <v>24.47</v>
      </c>
      <c r="R62" s="81"/>
      <c r="S62" s="82">
        <v>2000</v>
      </c>
      <c r="T62" s="82"/>
      <c r="U62" s="46"/>
      <c r="V62" s="46"/>
      <c r="W62" s="33">
        <v>1000</v>
      </c>
      <c r="X62" s="33">
        <v>0</v>
      </c>
      <c r="Y62" s="47">
        <v>1160.01</v>
      </c>
      <c r="Z62" s="48">
        <v>0</v>
      </c>
      <c r="AA62" s="33">
        <v>2500</v>
      </c>
      <c r="AB62" s="33">
        <v>0</v>
      </c>
      <c r="AC62" s="33"/>
      <c r="AD62" s="81">
        <v>2221.19</v>
      </c>
      <c r="AE62" s="81">
        <v>0</v>
      </c>
      <c r="AF62" s="82">
        <v>2500</v>
      </c>
      <c r="AG62" s="82">
        <v>0</v>
      </c>
      <c r="AH62" s="82"/>
      <c r="AI62" s="34">
        <v>2502.06</v>
      </c>
      <c r="AJ62" s="34">
        <v>120.92</v>
      </c>
      <c r="AK62" s="34">
        <v>2381.14</v>
      </c>
      <c r="AL62" s="10">
        <v>0</v>
      </c>
      <c r="AM62" s="10">
        <v>0</v>
      </c>
      <c r="AN62" s="18">
        <f t="shared" si="9"/>
        <v>0</v>
      </c>
      <c r="AO62" s="18" t="e">
        <f>#REF!-#REF!</f>
        <v>#REF!</v>
      </c>
    </row>
    <row r="63" spans="3:44" x14ac:dyDescent="0.25">
      <c r="C63" t="s">
        <v>76</v>
      </c>
      <c r="D63" s="145" t="s">
        <v>67</v>
      </c>
      <c r="E63" s="81"/>
      <c r="F63" s="81"/>
      <c r="G63" s="82"/>
      <c r="H63" s="82"/>
      <c r="I63" s="81"/>
      <c r="J63" s="81"/>
      <c r="K63" s="82"/>
      <c r="L63" s="82"/>
      <c r="M63" s="81"/>
      <c r="N63" s="81"/>
      <c r="O63" s="82"/>
      <c r="P63" s="82"/>
      <c r="Q63" s="81"/>
      <c r="R63" s="81"/>
      <c r="S63" s="82"/>
      <c r="T63" s="82"/>
      <c r="U63" s="46"/>
      <c r="V63" s="46"/>
      <c r="W63" s="33">
        <v>0</v>
      </c>
      <c r="X63" s="33">
        <v>0</v>
      </c>
      <c r="Y63" s="47">
        <v>0</v>
      </c>
      <c r="Z63" s="48">
        <v>80</v>
      </c>
      <c r="AA63" s="33">
        <v>0</v>
      </c>
      <c r="AB63" s="33">
        <v>0</v>
      </c>
      <c r="AC63" s="33"/>
      <c r="AD63" s="81">
        <v>0</v>
      </c>
      <c r="AE63" s="81">
        <v>80</v>
      </c>
      <c r="AF63" s="82">
        <v>0</v>
      </c>
      <c r="AG63" s="82">
        <v>0</v>
      </c>
      <c r="AH63" s="82"/>
      <c r="AI63" s="34">
        <v>0</v>
      </c>
      <c r="AJ63" s="34">
        <v>250</v>
      </c>
      <c r="AK63" s="34">
        <v>-250</v>
      </c>
      <c r="AL63" s="10">
        <v>0</v>
      </c>
      <c r="AM63" s="10">
        <v>500</v>
      </c>
      <c r="AN63" s="18">
        <f t="shared" si="9"/>
        <v>-500</v>
      </c>
      <c r="AO63" s="18" t="e">
        <f>#REF!-#REF!</f>
        <v>#REF!</v>
      </c>
    </row>
    <row r="64" spans="3:44" x14ac:dyDescent="0.25">
      <c r="C64" s="2" t="s">
        <v>147</v>
      </c>
      <c r="D64" s="145">
        <v>70596000</v>
      </c>
      <c r="E64" s="81"/>
      <c r="F64" s="81"/>
      <c r="G64" s="82"/>
      <c r="H64" s="82"/>
      <c r="I64" s="81"/>
      <c r="J64" s="81"/>
      <c r="K64" s="82"/>
      <c r="L64" s="82"/>
      <c r="M64" s="81"/>
      <c r="N64" s="81"/>
      <c r="O64" s="82"/>
      <c r="P64" s="82"/>
      <c r="Q64" s="81"/>
      <c r="R64" s="81"/>
      <c r="S64" s="82"/>
      <c r="T64" s="82"/>
      <c r="U64" s="46"/>
      <c r="V64" s="46"/>
      <c r="W64" s="33">
        <v>0</v>
      </c>
      <c r="X64" s="33">
        <v>0</v>
      </c>
      <c r="Y64" s="48">
        <v>0</v>
      </c>
      <c r="Z64" s="48">
        <v>0</v>
      </c>
      <c r="AA64" s="33">
        <v>0</v>
      </c>
      <c r="AB64" s="33">
        <v>0</v>
      </c>
      <c r="AC64" s="33"/>
      <c r="AD64" s="81">
        <v>0</v>
      </c>
      <c r="AE64" s="81">
        <v>0</v>
      </c>
      <c r="AF64" s="82">
        <v>0</v>
      </c>
      <c r="AG64" s="82">
        <v>0</v>
      </c>
      <c r="AH64" s="82"/>
      <c r="AI64" s="34">
        <v>0</v>
      </c>
      <c r="AJ64" s="34">
        <v>0</v>
      </c>
      <c r="AK64" s="34">
        <v>0</v>
      </c>
      <c r="AL64" s="10">
        <v>0</v>
      </c>
      <c r="AM64" s="10">
        <v>0</v>
      </c>
      <c r="AN64" s="18">
        <f t="shared" si="9"/>
        <v>0</v>
      </c>
      <c r="AO64" s="18" t="e">
        <f>#REF!-#REF!</f>
        <v>#REF!</v>
      </c>
      <c r="AP64" s="2"/>
    </row>
    <row r="65" spans="1:45" x14ac:dyDescent="0.25">
      <c r="C65" t="s">
        <v>38</v>
      </c>
      <c r="D65" s="145" t="s">
        <v>53</v>
      </c>
      <c r="E65" s="81"/>
      <c r="F65" s="81"/>
      <c r="G65" s="82"/>
      <c r="H65" s="82"/>
      <c r="I65" s="81"/>
      <c r="J65" s="81">
        <v>86970</v>
      </c>
      <c r="K65" s="82"/>
      <c r="L65" s="82">
        <v>92140</v>
      </c>
      <c r="M65" s="81"/>
      <c r="N65" s="81"/>
      <c r="O65" s="82"/>
      <c r="P65" s="82"/>
      <c r="Q65" s="81"/>
      <c r="R65" s="81">
        <v>49710</v>
      </c>
      <c r="S65" s="82"/>
      <c r="T65" s="82">
        <v>62500</v>
      </c>
      <c r="U65" s="46"/>
      <c r="V65" s="46"/>
      <c r="W65" s="33">
        <v>0</v>
      </c>
      <c r="X65" s="33">
        <v>0</v>
      </c>
      <c r="Y65" s="48">
        <v>0</v>
      </c>
      <c r="Z65" s="48">
        <v>50910</v>
      </c>
      <c r="AA65" s="33">
        <v>0</v>
      </c>
      <c r="AB65" s="33">
        <v>63180</v>
      </c>
      <c r="AC65" s="33"/>
      <c r="AD65" s="81">
        <v>0</v>
      </c>
      <c r="AE65" s="81">
        <v>0</v>
      </c>
      <c r="AF65" s="82">
        <v>0</v>
      </c>
      <c r="AG65" s="82">
        <v>0</v>
      </c>
      <c r="AH65" s="82"/>
      <c r="AI65" s="34">
        <v>0</v>
      </c>
      <c r="AJ65" s="34">
        <f>45830-3190</f>
        <v>42640</v>
      </c>
      <c r="AK65" s="34">
        <v>-42640</v>
      </c>
      <c r="AL65" s="10">
        <v>0</v>
      </c>
      <c r="AM65" s="10">
        <v>0</v>
      </c>
      <c r="AN65" s="18">
        <f t="shared" si="9"/>
        <v>0</v>
      </c>
      <c r="AO65" s="18" t="e">
        <f>#REF!-#REF!</f>
        <v>#REF!</v>
      </c>
      <c r="AP65" s="59"/>
      <c r="AR65" s="61"/>
      <c r="AS65" s="91"/>
    </row>
    <row r="66" spans="1:45" x14ac:dyDescent="0.25">
      <c r="C66" s="103" t="s">
        <v>134</v>
      </c>
      <c r="D66" s="145" t="s">
        <v>40</v>
      </c>
      <c r="E66" s="81"/>
      <c r="F66" s="81"/>
      <c r="G66" s="82"/>
      <c r="H66" s="82"/>
      <c r="I66" s="81"/>
      <c r="J66" s="81">
        <v>94720</v>
      </c>
      <c r="K66" s="82"/>
      <c r="L66" s="82">
        <v>75000</v>
      </c>
      <c r="M66" s="81"/>
      <c r="N66" s="81"/>
      <c r="O66" s="82"/>
      <c r="P66" s="82"/>
      <c r="Q66" s="81"/>
      <c r="R66" s="81">
        <v>63530</v>
      </c>
      <c r="S66" s="82"/>
      <c r="T66" s="82">
        <v>68400</v>
      </c>
      <c r="U66" s="46"/>
      <c r="V66" s="106"/>
      <c r="W66" s="33">
        <v>0</v>
      </c>
      <c r="X66" s="33">
        <v>0</v>
      </c>
      <c r="Y66" s="48">
        <v>0</v>
      </c>
      <c r="Z66" s="48">
        <v>70500</v>
      </c>
      <c r="AA66" s="33">
        <v>0</v>
      </c>
      <c r="AB66" s="33">
        <v>81120</v>
      </c>
      <c r="AC66" s="33"/>
      <c r="AD66" s="81">
        <v>0</v>
      </c>
      <c r="AE66" s="81">
        <v>510</v>
      </c>
      <c r="AF66" s="82">
        <v>0</v>
      </c>
      <c r="AG66" s="82">
        <v>0</v>
      </c>
      <c r="AH66" s="82"/>
      <c r="AI66" s="34">
        <v>0</v>
      </c>
      <c r="AJ66" s="34">
        <f>72520-500</f>
        <v>72020</v>
      </c>
      <c r="AK66" s="34">
        <v>-72020</v>
      </c>
      <c r="AL66" s="10">
        <v>0</v>
      </c>
      <c r="AM66" s="10">
        <v>0</v>
      </c>
      <c r="AN66" s="18">
        <f t="shared" si="9"/>
        <v>0</v>
      </c>
      <c r="AO66" s="18" t="e">
        <f>#REF!-#REF!</f>
        <v>#REF!</v>
      </c>
      <c r="AP66" s="103"/>
      <c r="AR66" s="61"/>
      <c r="AS66" s="91"/>
    </row>
    <row r="67" spans="1:45" x14ac:dyDescent="0.25">
      <c r="C67" s="2" t="s">
        <v>146</v>
      </c>
      <c r="D67" s="145">
        <v>70678000</v>
      </c>
      <c r="E67" s="81"/>
      <c r="F67" s="81"/>
      <c r="G67" s="82"/>
      <c r="H67" s="82">
        <v>111380</v>
      </c>
      <c r="I67" s="81"/>
      <c r="J67" s="81"/>
      <c r="K67" s="82"/>
      <c r="L67" s="82"/>
      <c r="M67" s="81"/>
      <c r="N67" s="81">
        <v>80550</v>
      </c>
      <c r="O67" s="82"/>
      <c r="P67" s="82">
        <v>79000</v>
      </c>
      <c r="Q67" s="81"/>
      <c r="R67" s="81"/>
      <c r="S67" s="82"/>
      <c r="T67" s="82"/>
      <c r="U67" s="46"/>
      <c r="V67" s="46">
        <f>66290+1380+9320+2850</f>
        <v>79840</v>
      </c>
      <c r="W67" s="33">
        <v>0</v>
      </c>
      <c r="X67" s="33">
        <v>56862</v>
      </c>
      <c r="Y67" s="48">
        <v>0</v>
      </c>
      <c r="Z67" s="48">
        <v>0</v>
      </c>
      <c r="AA67" s="33">
        <v>0</v>
      </c>
      <c r="AB67" s="33">
        <v>0</v>
      </c>
      <c r="AC67" s="33"/>
      <c r="AD67" s="81">
        <v>0</v>
      </c>
      <c r="AE67" s="81">
        <v>35240</v>
      </c>
      <c r="AF67" s="82">
        <v>0</v>
      </c>
      <c r="AG67" s="82">
        <v>36000</v>
      </c>
      <c r="AH67" s="82"/>
      <c r="AI67" s="34">
        <v>0</v>
      </c>
      <c r="AJ67" s="34">
        <v>0</v>
      </c>
      <c r="AK67" s="34">
        <f>AI67-AJ67</f>
        <v>0</v>
      </c>
      <c r="AL67" s="10">
        <v>0</v>
      </c>
      <c r="AM67" s="10">
        <v>68214.289999999994</v>
      </c>
      <c r="AN67" s="18">
        <f t="shared" si="9"/>
        <v>-68214.289999999994</v>
      </c>
      <c r="AO67" s="18" t="e">
        <f>#REF!-#REF!</f>
        <v>#REF!</v>
      </c>
      <c r="AP67" s="103"/>
      <c r="AR67" s="95"/>
      <c r="AS67" s="95"/>
    </row>
    <row r="68" spans="1:45" x14ac:dyDescent="0.25">
      <c r="C68" s="103" t="s">
        <v>226</v>
      </c>
      <c r="D68" s="145" t="s">
        <v>95</v>
      </c>
      <c r="E68" s="81"/>
      <c r="F68" s="81"/>
      <c r="G68" s="82"/>
      <c r="H68" s="82">
        <v>82500</v>
      </c>
      <c r="I68" s="81">
        <v>195</v>
      </c>
      <c r="J68" s="81"/>
      <c r="K68" s="82"/>
      <c r="L68" s="82"/>
      <c r="M68" s="81"/>
      <c r="N68" s="81">
        <v>81025</v>
      </c>
      <c r="O68" s="82"/>
      <c r="P68" s="82">
        <v>62100</v>
      </c>
      <c r="Q68" s="81"/>
      <c r="R68" s="81"/>
      <c r="S68" s="82"/>
      <c r="T68" s="82"/>
      <c r="U68" s="46"/>
      <c r="V68" s="46">
        <f>53640+570</f>
        <v>54210</v>
      </c>
      <c r="W68" s="33">
        <v>0</v>
      </c>
      <c r="X68" s="33">
        <v>63680</v>
      </c>
      <c r="Y68" s="48">
        <v>0</v>
      </c>
      <c r="Z68" s="48">
        <v>0</v>
      </c>
      <c r="AA68" s="33">
        <v>0</v>
      </c>
      <c r="AB68" s="33">
        <v>0</v>
      </c>
      <c r="AC68" s="33"/>
      <c r="AD68" s="81">
        <v>0</v>
      </c>
      <c r="AE68" s="81">
        <v>61244</v>
      </c>
      <c r="AF68" s="82">
        <v>0</v>
      </c>
      <c r="AG68" s="82">
        <v>65000</v>
      </c>
      <c r="AH68" s="82"/>
      <c r="AI68" s="34">
        <v>9120</v>
      </c>
      <c r="AJ68" s="34">
        <v>9120</v>
      </c>
      <c r="AK68" s="34">
        <v>0</v>
      </c>
      <c r="AL68" s="10">
        <v>0</v>
      </c>
      <c r="AM68" s="10">
        <v>79260</v>
      </c>
      <c r="AN68" s="18">
        <f t="shared" si="9"/>
        <v>-79260</v>
      </c>
      <c r="AO68" s="18" t="e">
        <f>#REF!-#REF!</f>
        <v>#REF!</v>
      </c>
    </row>
    <row r="69" spans="1:45" x14ac:dyDescent="0.25">
      <c r="C69" s="103" t="s">
        <v>227</v>
      </c>
      <c r="D69" s="145">
        <v>70679100</v>
      </c>
      <c r="E69" s="81"/>
      <c r="F69" s="81"/>
      <c r="G69" s="82"/>
      <c r="H69" s="82"/>
      <c r="I69" s="81"/>
      <c r="J69" s="81"/>
      <c r="K69" s="82"/>
      <c r="L69" s="82"/>
      <c r="M69" s="81"/>
      <c r="N69" s="81"/>
      <c r="O69" s="82"/>
      <c r="P69" s="82">
        <v>17250</v>
      </c>
      <c r="Q69" s="81"/>
      <c r="R69" s="81">
        <v>13410</v>
      </c>
      <c r="S69" s="82"/>
      <c r="T69" s="82">
        <v>15060</v>
      </c>
      <c r="U69" s="46"/>
      <c r="V69" s="46"/>
      <c r="W69" s="33"/>
      <c r="X69" s="33"/>
      <c r="Y69" s="48"/>
      <c r="Z69" s="48"/>
      <c r="AA69" s="33"/>
      <c r="AB69" s="33"/>
      <c r="AC69" s="33"/>
      <c r="AD69" s="81"/>
      <c r="AE69" s="81"/>
      <c r="AF69" s="82"/>
      <c r="AG69" s="82"/>
      <c r="AH69" s="82"/>
      <c r="AI69" s="34"/>
      <c r="AJ69" s="34"/>
      <c r="AK69" s="34"/>
      <c r="AL69" s="10"/>
      <c r="AM69" s="10"/>
      <c r="AN69" s="18"/>
      <c r="AO69" s="18"/>
    </row>
    <row r="70" spans="1:45" x14ac:dyDescent="0.25">
      <c r="C70" t="s">
        <v>747</v>
      </c>
      <c r="D70" s="145">
        <v>70679010</v>
      </c>
      <c r="E70" s="81"/>
      <c r="F70" s="81"/>
      <c r="G70" s="82"/>
      <c r="H70" s="82">
        <v>18900</v>
      </c>
      <c r="I70" s="81"/>
      <c r="J70" s="81">
        <v>23100</v>
      </c>
      <c r="K70" s="82"/>
      <c r="L70" s="82">
        <v>18000</v>
      </c>
      <c r="M70" s="81"/>
      <c r="N70" s="81">
        <v>8857</v>
      </c>
      <c r="O70" s="82"/>
      <c r="P70" s="82">
        <f>4995+5220</f>
        <v>10215</v>
      </c>
      <c r="Q70" s="81"/>
      <c r="R70" s="81">
        <v>10040</v>
      </c>
      <c r="S70" s="82"/>
      <c r="T70" s="82">
        <v>23850</v>
      </c>
      <c r="U70" s="46"/>
      <c r="V70" s="46">
        <v>14118</v>
      </c>
      <c r="W70" s="33">
        <v>0</v>
      </c>
      <c r="X70" s="33">
        <v>16320</v>
      </c>
      <c r="Y70" s="48">
        <v>0</v>
      </c>
      <c r="Z70" s="48">
        <v>25470</v>
      </c>
      <c r="AA70" s="33">
        <v>0</v>
      </c>
      <c r="AB70" s="33">
        <v>31200</v>
      </c>
      <c r="AC70" s="33"/>
      <c r="AD70" s="81">
        <v>0</v>
      </c>
      <c r="AE70" s="81">
        <v>0</v>
      </c>
      <c r="AF70" s="82">
        <v>0</v>
      </c>
      <c r="AG70" s="82">
        <v>0</v>
      </c>
      <c r="AH70" s="82"/>
      <c r="AI70" s="34">
        <v>0</v>
      </c>
      <c r="AJ70" s="34">
        <v>0</v>
      </c>
      <c r="AK70" s="34"/>
      <c r="AL70" s="10"/>
      <c r="AM70" s="10"/>
      <c r="AN70" s="18"/>
      <c r="AO70" s="18" t="e">
        <f>#REF!-#REF!</f>
        <v>#REF!</v>
      </c>
      <c r="AP70" s="141"/>
    </row>
    <row r="71" spans="1:45" x14ac:dyDescent="0.25">
      <c r="D71" s="145"/>
      <c r="E71" s="81"/>
      <c r="F71" s="81"/>
      <c r="G71" s="82"/>
      <c r="H71" s="82"/>
      <c r="I71" s="81"/>
      <c r="J71" s="81"/>
      <c r="K71" s="82"/>
      <c r="L71" s="82"/>
      <c r="M71" s="81"/>
      <c r="N71" s="81"/>
      <c r="O71" s="82"/>
      <c r="P71" s="82"/>
      <c r="Q71" s="81"/>
      <c r="R71" s="81"/>
      <c r="S71" s="82"/>
      <c r="T71" s="82"/>
      <c r="U71" s="46"/>
      <c r="V71" s="46"/>
      <c r="W71" s="33"/>
      <c r="X71" s="33"/>
      <c r="Y71" s="48"/>
      <c r="Z71" s="48"/>
      <c r="AA71" s="33"/>
      <c r="AB71" s="33"/>
      <c r="AC71" s="33"/>
      <c r="AD71" s="81"/>
      <c r="AE71" s="81"/>
      <c r="AF71" s="82"/>
      <c r="AG71" s="82"/>
      <c r="AH71" s="82"/>
      <c r="AI71" s="34"/>
      <c r="AJ71" s="34"/>
      <c r="AK71" s="34"/>
      <c r="AL71" s="10"/>
      <c r="AM71" s="10"/>
      <c r="AN71" s="18"/>
      <c r="AO71" s="10"/>
      <c r="AP71" s="141"/>
    </row>
    <row r="72" spans="1:45" x14ac:dyDescent="0.25">
      <c r="A72" s="3" t="s">
        <v>86</v>
      </c>
      <c r="B72" s="14" t="s">
        <v>41</v>
      </c>
      <c r="C72" s="14"/>
      <c r="D72" s="152"/>
      <c r="E72" s="78">
        <f t="shared" ref="E72:F72" si="10">SUM(E74:E92)</f>
        <v>0</v>
      </c>
      <c r="F72" s="78">
        <f t="shared" si="10"/>
        <v>0</v>
      </c>
      <c r="G72" s="79">
        <f>SUM(G74:G92)</f>
        <v>8880</v>
      </c>
      <c r="H72" s="79">
        <f t="shared" ref="H72" si="11">SUM(H74:H92)</f>
        <v>19610</v>
      </c>
      <c r="I72" s="78">
        <f t="shared" ref="I72:J72" si="12">SUM(I74:I92)</f>
        <v>2695.3100000000004</v>
      </c>
      <c r="J72" s="78">
        <f t="shared" si="12"/>
        <v>11220</v>
      </c>
      <c r="K72" s="79">
        <f>SUM(K74:K92)</f>
        <v>9800</v>
      </c>
      <c r="L72" s="79">
        <f t="shared" ref="L72" si="13">SUM(L74:L92)</f>
        <v>19550</v>
      </c>
      <c r="M72" s="78">
        <f t="shared" ref="M72:P72" si="14">SUM(M74:M92)</f>
        <v>9316.2400000000016</v>
      </c>
      <c r="N72" s="78">
        <f t="shared" si="14"/>
        <v>19712</v>
      </c>
      <c r="O72" s="79">
        <f>SUM(O74:O92)</f>
        <v>4250</v>
      </c>
      <c r="P72" s="79">
        <f t="shared" si="14"/>
        <v>10000</v>
      </c>
      <c r="Q72" s="78">
        <f t="shared" ref="Q72:V72" si="15">SUM(Q74:Q92)</f>
        <v>4700.1499999999996</v>
      </c>
      <c r="R72" s="78">
        <f t="shared" si="15"/>
        <v>8038</v>
      </c>
      <c r="S72" s="79">
        <f t="shared" si="15"/>
        <v>3130</v>
      </c>
      <c r="T72" s="79">
        <f t="shared" si="15"/>
        <v>12000</v>
      </c>
      <c r="U72" s="45">
        <f t="shared" si="15"/>
        <v>1074.1399999999999</v>
      </c>
      <c r="V72" s="45">
        <f t="shared" si="15"/>
        <v>11485.49</v>
      </c>
      <c r="W72" s="31">
        <f t="shared" ref="W72:AB72" si="16">SUM(W74:W92)</f>
        <v>9650</v>
      </c>
      <c r="X72" s="31">
        <f t="shared" si="16"/>
        <v>18000</v>
      </c>
      <c r="Y72" s="50">
        <f t="shared" si="16"/>
        <v>4923.59</v>
      </c>
      <c r="Z72" s="50">
        <f t="shared" si="16"/>
        <v>15350.51</v>
      </c>
      <c r="AA72" s="31">
        <f t="shared" si="16"/>
        <v>14665.5</v>
      </c>
      <c r="AB72" s="31">
        <f t="shared" si="16"/>
        <v>21200</v>
      </c>
      <c r="AC72" s="31"/>
      <c r="AD72" s="78">
        <f>SUM(AD74:AD92)</f>
        <v>19464.239999999994</v>
      </c>
      <c r="AE72" s="78">
        <f>SUM(AE74:AE92)</f>
        <v>28955.58</v>
      </c>
      <c r="AF72" s="79">
        <v>11000</v>
      </c>
      <c r="AG72" s="79">
        <v>12000</v>
      </c>
      <c r="AH72" s="79"/>
      <c r="AI72" s="80">
        <f t="shared" ref="AI72:AO72" si="17">SUM(AI74:AI93)</f>
        <v>14594.369999999999</v>
      </c>
      <c r="AJ72" s="80">
        <f t="shared" si="17"/>
        <v>14702.46</v>
      </c>
      <c r="AK72" s="80">
        <f t="shared" si="17"/>
        <v>-108.09000000000015</v>
      </c>
      <c r="AL72" s="26">
        <f>SUM(AL74:AL93)</f>
        <v>7554.6399999999994</v>
      </c>
      <c r="AM72" s="7">
        <f>SUM(AM74:AM93)</f>
        <v>11694.54</v>
      </c>
      <c r="AN72" s="19">
        <f>SUM(AN74:AN93)</f>
        <v>-4139.9000000000015</v>
      </c>
      <c r="AO72" s="6" t="e">
        <f t="shared" si="17"/>
        <v>#REF!</v>
      </c>
      <c r="AQ72" s="113"/>
    </row>
    <row r="73" spans="1:45" x14ac:dyDescent="0.25">
      <c r="A73" s="4"/>
      <c r="B73" s="4"/>
      <c r="C73" s="147"/>
      <c r="D73" s="153"/>
      <c r="E73" s="78"/>
      <c r="F73" s="78">
        <f>F72-E72</f>
        <v>0</v>
      </c>
      <c r="G73" s="79"/>
      <c r="H73" s="79">
        <f>H72-G72</f>
        <v>10730</v>
      </c>
      <c r="I73" s="78"/>
      <c r="J73" s="78">
        <f>J72-I72</f>
        <v>8524.6899999999987</v>
      </c>
      <c r="K73" s="79"/>
      <c r="L73" s="79">
        <f>L72-K72</f>
        <v>9750</v>
      </c>
      <c r="M73" s="78"/>
      <c r="N73" s="78">
        <f>N72-M72</f>
        <v>10395.759999999998</v>
      </c>
      <c r="O73" s="79"/>
      <c r="P73" s="79">
        <f>P72-O72</f>
        <v>5750</v>
      </c>
      <c r="Q73" s="78"/>
      <c r="R73" s="78">
        <f>R72-Q72</f>
        <v>3337.8500000000004</v>
      </c>
      <c r="S73" s="79"/>
      <c r="T73" s="79">
        <f>T72-S72</f>
        <v>8870</v>
      </c>
      <c r="U73" s="46"/>
      <c r="V73" s="102">
        <f>V72-U72</f>
        <v>10411.35</v>
      </c>
      <c r="W73" s="31"/>
      <c r="X73" s="31">
        <f>X72-W72</f>
        <v>8350</v>
      </c>
      <c r="Y73" s="41"/>
      <c r="Z73" s="51">
        <f>Z72-Y72</f>
        <v>10426.92</v>
      </c>
      <c r="AA73" s="31"/>
      <c r="AB73" s="31">
        <f>AB72-AA72</f>
        <v>6534.5</v>
      </c>
      <c r="AC73" s="31"/>
      <c r="AD73" s="78"/>
      <c r="AE73" s="78">
        <f>AE72-AD72</f>
        <v>9491.3400000000074</v>
      </c>
      <c r="AF73" s="79"/>
      <c r="AG73" s="79">
        <f>AG72-AF72</f>
        <v>1000</v>
      </c>
      <c r="AH73" s="79"/>
      <c r="AI73" s="80"/>
      <c r="AJ73" s="80">
        <f>AJ72-AI72</f>
        <v>108.09000000000015</v>
      </c>
      <c r="AK73" s="80"/>
      <c r="AL73" s="28"/>
      <c r="AM73" s="9">
        <f>AM72-AL72</f>
        <v>4139.9000000000015</v>
      </c>
      <c r="AN73" s="22"/>
      <c r="AO73" s="8"/>
    </row>
    <row r="74" spans="1:45" x14ac:dyDescent="0.25">
      <c r="C74" t="s">
        <v>87</v>
      </c>
      <c r="D74" s="145" t="s">
        <v>11</v>
      </c>
      <c r="E74" s="81"/>
      <c r="F74" s="81"/>
      <c r="G74" s="180">
        <v>2880</v>
      </c>
      <c r="H74" s="82"/>
      <c r="I74" s="81">
        <v>558.65</v>
      </c>
      <c r="J74" s="81"/>
      <c r="K74" s="82">
        <v>3500</v>
      </c>
      <c r="L74" s="82"/>
      <c r="M74" s="81">
        <v>3417.45</v>
      </c>
      <c r="N74" s="81"/>
      <c r="O74" s="82">
        <v>1900</v>
      </c>
      <c r="P74" s="82"/>
      <c r="Q74" s="81">
        <v>1905.7</v>
      </c>
      <c r="R74" s="81"/>
      <c r="S74" s="82"/>
      <c r="T74" s="82"/>
      <c r="U74" s="46">
        <v>0</v>
      </c>
      <c r="V74" s="46"/>
      <c r="W74" s="33">
        <f>2750/2</f>
        <v>1375</v>
      </c>
      <c r="X74" s="33">
        <v>0</v>
      </c>
      <c r="Y74" s="47">
        <v>250</v>
      </c>
      <c r="Z74" s="47">
        <v>0</v>
      </c>
      <c r="AA74" s="33">
        <v>2500</v>
      </c>
      <c r="AB74" s="33">
        <v>0</v>
      </c>
      <c r="AC74" s="33"/>
      <c r="AD74" s="81">
        <v>2766.45</v>
      </c>
      <c r="AE74" s="81">
        <v>0</v>
      </c>
      <c r="AF74" s="82">
        <v>2500</v>
      </c>
      <c r="AG74" s="82">
        <v>0</v>
      </c>
      <c r="AH74" s="82"/>
      <c r="AI74" s="34">
        <v>1543</v>
      </c>
      <c r="AJ74" s="34">
        <v>50</v>
      </c>
      <c r="AK74" s="34">
        <v>1493</v>
      </c>
      <c r="AL74" s="10">
        <v>2957.45</v>
      </c>
      <c r="AM74" s="10">
        <v>0</v>
      </c>
      <c r="AN74" s="18">
        <f>AL74-AM74</f>
        <v>2957.45</v>
      </c>
      <c r="AO74" s="18" t="e">
        <f>#REF!-#REF!</f>
        <v>#REF!</v>
      </c>
    </row>
    <row r="75" spans="1:45" x14ac:dyDescent="0.25">
      <c r="C75" t="s">
        <v>32</v>
      </c>
      <c r="D75" s="145" t="s">
        <v>105</v>
      </c>
      <c r="E75" s="81"/>
      <c r="F75" s="81"/>
      <c r="G75" s="180">
        <v>6000</v>
      </c>
      <c r="H75" s="82"/>
      <c r="I75" s="81">
        <v>1849</v>
      </c>
      <c r="J75" s="81"/>
      <c r="K75" s="82">
        <v>5400</v>
      </c>
      <c r="L75" s="82"/>
      <c r="M75" s="81">
        <v>5395.27</v>
      </c>
      <c r="N75" s="81"/>
      <c r="O75" s="82">
        <v>1800</v>
      </c>
      <c r="P75" s="82"/>
      <c r="Q75" s="81">
        <v>1836.5</v>
      </c>
      <c r="R75" s="81"/>
      <c r="S75" s="82">
        <v>2000</v>
      </c>
      <c r="T75" s="82"/>
      <c r="U75" s="46">
        <v>0</v>
      </c>
      <c r="V75" s="46"/>
      <c r="W75" s="33">
        <f>11200/2</f>
        <v>5600</v>
      </c>
      <c r="X75" s="33">
        <v>0</v>
      </c>
      <c r="Y75" s="47">
        <v>0</v>
      </c>
      <c r="Z75" s="47">
        <v>0</v>
      </c>
      <c r="AA75" s="33">
        <v>10000</v>
      </c>
      <c r="AB75" s="33">
        <v>0</v>
      </c>
      <c r="AC75" s="33"/>
      <c r="AD75" s="81">
        <v>11210.32</v>
      </c>
      <c r="AE75" s="81">
        <v>0</v>
      </c>
      <c r="AF75" s="82">
        <v>8000</v>
      </c>
      <c r="AG75" s="82">
        <v>0</v>
      </c>
      <c r="AH75" s="82"/>
      <c r="AI75" s="34">
        <v>8755.84</v>
      </c>
      <c r="AJ75" s="34">
        <v>0</v>
      </c>
      <c r="AK75" s="34">
        <v>8755.84</v>
      </c>
      <c r="AL75" s="10">
        <v>4109.1899999999996</v>
      </c>
      <c r="AM75" s="10">
        <v>0</v>
      </c>
      <c r="AN75" s="18">
        <f t="shared" ref="AN75:AN92" si="18">AL75-AM75</f>
        <v>4109.1899999999996</v>
      </c>
      <c r="AO75" s="18" t="e">
        <f>#REF!-#REF!</f>
        <v>#REF!</v>
      </c>
    </row>
    <row r="76" spans="1:45" x14ac:dyDescent="0.25">
      <c r="C76" t="s">
        <v>6</v>
      </c>
      <c r="D76" s="145" t="s">
        <v>82</v>
      </c>
      <c r="E76" s="81"/>
      <c r="F76" s="81"/>
      <c r="G76" s="82"/>
      <c r="H76" s="82"/>
      <c r="I76" s="81">
        <v>140.80000000000001</v>
      </c>
      <c r="J76" s="81"/>
      <c r="K76" s="82"/>
      <c r="L76" s="82"/>
      <c r="M76" s="81"/>
      <c r="N76" s="81"/>
      <c r="O76" s="82"/>
      <c r="P76" s="82"/>
      <c r="Q76" s="81"/>
      <c r="R76" s="81"/>
      <c r="S76" s="82"/>
      <c r="T76" s="82"/>
      <c r="U76" s="46"/>
      <c r="V76" s="46"/>
      <c r="W76" s="33"/>
      <c r="X76" s="33"/>
      <c r="Y76" s="47"/>
      <c r="Z76" s="47"/>
      <c r="AA76" s="33"/>
      <c r="AB76" s="33"/>
      <c r="AC76" s="33"/>
      <c r="AD76" s="81"/>
      <c r="AE76" s="81"/>
      <c r="AF76" s="82"/>
      <c r="AG76" s="82"/>
      <c r="AH76" s="82"/>
      <c r="AI76" s="34"/>
      <c r="AJ76" s="34"/>
      <c r="AK76" s="34"/>
      <c r="AL76" s="10"/>
      <c r="AM76" s="10"/>
      <c r="AN76" s="18"/>
      <c r="AO76" s="18"/>
    </row>
    <row r="77" spans="1:45" x14ac:dyDescent="0.25">
      <c r="C77" t="s">
        <v>29</v>
      </c>
      <c r="D77" s="145" t="s">
        <v>75</v>
      </c>
      <c r="E77" s="81"/>
      <c r="F77" s="81"/>
      <c r="G77" s="82"/>
      <c r="H77" s="82"/>
      <c r="I77" s="81"/>
      <c r="J77" s="81"/>
      <c r="K77" s="82"/>
      <c r="L77" s="82"/>
      <c r="M77" s="81"/>
      <c r="N77" s="81"/>
      <c r="O77" s="82">
        <v>250</v>
      </c>
      <c r="P77" s="82"/>
      <c r="Q77" s="81">
        <v>126.16</v>
      </c>
      <c r="R77" s="81"/>
      <c r="S77" s="82">
        <v>900</v>
      </c>
      <c r="T77" s="82"/>
      <c r="U77" s="46">
        <v>849.8</v>
      </c>
      <c r="V77" s="46"/>
      <c r="W77" s="33">
        <f>1700/2</f>
        <v>850</v>
      </c>
      <c r="X77" s="33">
        <v>0</v>
      </c>
      <c r="Y77" s="47">
        <v>533.16</v>
      </c>
      <c r="Z77" s="47">
        <v>0</v>
      </c>
      <c r="AA77" s="33">
        <v>1500</v>
      </c>
      <c r="AB77" s="33">
        <v>0</v>
      </c>
      <c r="AC77" s="33"/>
      <c r="AD77" s="81">
        <v>1695.98</v>
      </c>
      <c r="AE77" s="81">
        <v>0</v>
      </c>
      <c r="AF77" s="82">
        <v>500</v>
      </c>
      <c r="AG77" s="82">
        <v>0</v>
      </c>
      <c r="AH77" s="82"/>
      <c r="AI77" s="34">
        <v>18.809999999999999</v>
      </c>
      <c r="AJ77" s="34">
        <v>0</v>
      </c>
      <c r="AK77" s="34">
        <v>18.809999999999999</v>
      </c>
      <c r="AL77" s="10">
        <f>488</f>
        <v>488</v>
      </c>
      <c r="AM77" s="10">
        <v>0</v>
      </c>
      <c r="AN77" s="18">
        <f t="shared" si="18"/>
        <v>488</v>
      </c>
      <c r="AO77" s="18" t="e">
        <f>#REF!-#REF!</f>
        <v>#REF!</v>
      </c>
    </row>
    <row r="78" spans="1:45" x14ac:dyDescent="0.25">
      <c r="C78" t="s">
        <v>59</v>
      </c>
      <c r="D78" s="145" t="s">
        <v>65</v>
      </c>
      <c r="E78" s="81"/>
      <c r="F78" s="81"/>
      <c r="G78" s="82"/>
      <c r="H78" s="82"/>
      <c r="I78" s="81"/>
      <c r="J78" s="81"/>
      <c r="K78" s="82">
        <v>500</v>
      </c>
      <c r="L78" s="82"/>
      <c r="M78" s="81">
        <v>443.62</v>
      </c>
      <c r="N78" s="81"/>
      <c r="O78" s="82"/>
      <c r="P78" s="82"/>
      <c r="Q78" s="81"/>
      <c r="R78" s="81"/>
      <c r="S78" s="82"/>
      <c r="T78" s="82"/>
      <c r="U78" s="46">
        <v>0</v>
      </c>
      <c r="V78" s="46"/>
      <c r="W78" s="33">
        <v>1500</v>
      </c>
      <c r="X78" s="33">
        <v>0</v>
      </c>
      <c r="Y78" s="47">
        <v>3774.3</v>
      </c>
      <c r="Z78" s="47">
        <v>0</v>
      </c>
      <c r="AA78" s="33">
        <v>665.5</v>
      </c>
      <c r="AB78" s="33">
        <v>0</v>
      </c>
      <c r="AC78" s="33"/>
      <c r="AD78" s="81">
        <v>665.5</v>
      </c>
      <c r="AE78" s="81">
        <v>0</v>
      </c>
      <c r="AF78" s="82">
        <v>0</v>
      </c>
      <c r="AG78" s="82">
        <v>0</v>
      </c>
      <c r="AH78" s="82"/>
      <c r="AI78" s="34">
        <v>0</v>
      </c>
      <c r="AJ78" s="34">
        <v>0</v>
      </c>
      <c r="AK78" s="34"/>
      <c r="AL78" s="10">
        <v>0</v>
      </c>
      <c r="AM78" s="10">
        <v>0</v>
      </c>
      <c r="AN78" s="18"/>
      <c r="AO78" s="18"/>
    </row>
    <row r="79" spans="1:45" x14ac:dyDescent="0.25">
      <c r="C79" t="s">
        <v>121</v>
      </c>
      <c r="D79" s="145" t="s">
        <v>120</v>
      </c>
      <c r="E79" s="81"/>
      <c r="F79" s="81"/>
      <c r="G79" s="82"/>
      <c r="H79" s="82"/>
      <c r="I79" s="81"/>
      <c r="J79" s="81"/>
      <c r="K79" s="82"/>
      <c r="L79" s="82"/>
      <c r="M79" s="81"/>
      <c r="N79" s="81"/>
      <c r="O79" s="82"/>
      <c r="P79" s="82"/>
      <c r="Q79" s="81"/>
      <c r="R79" s="81"/>
      <c r="S79" s="82"/>
      <c r="T79" s="82"/>
      <c r="U79" s="46">
        <v>0</v>
      </c>
      <c r="V79" s="46"/>
      <c r="W79" s="33">
        <v>0</v>
      </c>
      <c r="X79" s="33">
        <v>0</v>
      </c>
      <c r="Y79" s="47">
        <v>0</v>
      </c>
      <c r="Z79" s="47">
        <v>0</v>
      </c>
      <c r="AA79" s="33">
        <v>0</v>
      </c>
      <c r="AB79" s="33">
        <v>0</v>
      </c>
      <c r="AC79" s="33"/>
      <c r="AD79" s="81">
        <v>20</v>
      </c>
      <c r="AE79" s="81">
        <v>0</v>
      </c>
      <c r="AF79" s="82">
        <v>0</v>
      </c>
      <c r="AG79" s="82">
        <v>0</v>
      </c>
      <c r="AH79" s="82"/>
      <c r="AI79" s="34">
        <v>500</v>
      </c>
      <c r="AJ79" s="34">
        <v>0</v>
      </c>
      <c r="AK79" s="34">
        <v>500</v>
      </c>
      <c r="AL79" s="10">
        <v>0</v>
      </c>
      <c r="AM79" s="10">
        <v>0</v>
      </c>
      <c r="AN79" s="18">
        <f t="shared" si="18"/>
        <v>0</v>
      </c>
      <c r="AO79" s="18" t="e">
        <f>#REF!-#REF!</f>
        <v>#REF!</v>
      </c>
    </row>
    <row r="80" spans="1:45" x14ac:dyDescent="0.25">
      <c r="C80" t="s">
        <v>124</v>
      </c>
      <c r="D80" s="145" t="s">
        <v>113</v>
      </c>
      <c r="E80" s="81"/>
      <c r="F80" s="81"/>
      <c r="G80" s="82"/>
      <c r="H80" s="82"/>
      <c r="I80" s="81"/>
      <c r="J80" s="81"/>
      <c r="K80" s="82">
        <v>300</v>
      </c>
      <c r="L80" s="82"/>
      <c r="M80" s="81"/>
      <c r="N80" s="81"/>
      <c r="O80" s="82">
        <v>300</v>
      </c>
      <c r="P80" s="82"/>
      <c r="Q80" s="81">
        <v>331.79</v>
      </c>
      <c r="R80" s="81"/>
      <c r="S80" s="82">
        <v>130</v>
      </c>
      <c r="T80" s="82"/>
      <c r="U80" s="46">
        <v>128.75</v>
      </c>
      <c r="V80" s="46"/>
      <c r="W80" s="33">
        <v>0</v>
      </c>
      <c r="X80" s="33">
        <v>0</v>
      </c>
      <c r="Y80" s="47">
        <v>0</v>
      </c>
      <c r="Z80" s="47">
        <v>0</v>
      </c>
      <c r="AA80" s="33">
        <v>0</v>
      </c>
      <c r="AB80" s="33">
        <v>0</v>
      </c>
      <c r="AC80" s="33"/>
      <c r="AD80" s="81">
        <v>75</v>
      </c>
      <c r="AE80" s="81">
        <v>0</v>
      </c>
      <c r="AF80" s="82">
        <v>0</v>
      </c>
      <c r="AG80" s="82">
        <v>0</v>
      </c>
      <c r="AH80" s="82"/>
      <c r="AI80" s="34">
        <v>180</v>
      </c>
      <c r="AJ80" s="34">
        <v>0</v>
      </c>
      <c r="AK80" s="34">
        <v>180</v>
      </c>
      <c r="AL80" s="10">
        <v>0</v>
      </c>
      <c r="AM80" s="10">
        <v>0</v>
      </c>
      <c r="AN80" s="18">
        <f t="shared" si="18"/>
        <v>0</v>
      </c>
      <c r="AO80" s="18" t="e">
        <f>#REF!-#REF!</f>
        <v>#REF!</v>
      </c>
    </row>
    <row r="81" spans="1:43" x14ac:dyDescent="0.25">
      <c r="C81" t="s">
        <v>23</v>
      </c>
      <c r="D81" s="145">
        <v>61413000</v>
      </c>
      <c r="E81" s="81"/>
      <c r="F81" s="81"/>
      <c r="G81" s="82"/>
      <c r="H81" s="82"/>
      <c r="I81" s="81"/>
      <c r="J81" s="81"/>
      <c r="K81" s="82">
        <v>100</v>
      </c>
      <c r="L81" s="82"/>
      <c r="M81" s="81">
        <v>59.9</v>
      </c>
      <c r="N81" s="81"/>
      <c r="O81" s="82"/>
      <c r="P81" s="82"/>
      <c r="Q81" s="81"/>
      <c r="R81" s="81"/>
      <c r="S81" s="82">
        <v>100</v>
      </c>
      <c r="T81" s="82"/>
      <c r="U81" s="46">
        <v>95.59</v>
      </c>
      <c r="V81" s="46"/>
      <c r="W81" s="33">
        <v>150</v>
      </c>
      <c r="X81" s="33">
        <v>0</v>
      </c>
      <c r="Y81" s="47">
        <v>170.6</v>
      </c>
      <c r="Z81" s="47">
        <v>0</v>
      </c>
      <c r="AA81" s="33">
        <v>0</v>
      </c>
      <c r="AB81" s="33">
        <v>0</v>
      </c>
      <c r="AC81" s="33"/>
      <c r="AD81" s="81">
        <v>138.1</v>
      </c>
      <c r="AE81" s="81">
        <v>0</v>
      </c>
      <c r="AF81" s="82">
        <v>0</v>
      </c>
      <c r="AG81" s="82">
        <v>0</v>
      </c>
      <c r="AH81" s="82"/>
      <c r="AI81" s="34">
        <v>328.56</v>
      </c>
      <c r="AJ81" s="34">
        <v>0</v>
      </c>
      <c r="AK81" s="34">
        <v>328.56</v>
      </c>
      <c r="AL81" s="10">
        <v>0</v>
      </c>
      <c r="AM81" s="10">
        <v>0</v>
      </c>
      <c r="AN81" s="18">
        <f t="shared" si="18"/>
        <v>0</v>
      </c>
      <c r="AO81" s="18" t="e">
        <f>#REF!-#REF!</f>
        <v>#REF!</v>
      </c>
    </row>
    <row r="82" spans="1:43" x14ac:dyDescent="0.25">
      <c r="C82" t="s">
        <v>118</v>
      </c>
      <c r="D82" s="145" t="s">
        <v>39</v>
      </c>
      <c r="E82" s="81"/>
      <c r="F82" s="81"/>
      <c r="G82" s="82"/>
      <c r="H82" s="82"/>
      <c r="I82" s="81"/>
      <c r="J82" s="81"/>
      <c r="K82" s="82"/>
      <c r="L82" s="82"/>
      <c r="M82" s="81"/>
      <c r="N82" s="81"/>
      <c r="O82" s="82"/>
      <c r="P82" s="82"/>
      <c r="Q82" s="81"/>
      <c r="R82" s="81"/>
      <c r="S82" s="82"/>
      <c r="T82" s="82"/>
      <c r="U82" s="46"/>
      <c r="V82" s="46"/>
      <c r="W82" s="33">
        <v>0</v>
      </c>
      <c r="X82" s="33">
        <v>0</v>
      </c>
      <c r="Y82" s="47">
        <v>0</v>
      </c>
      <c r="Z82" s="47">
        <v>0</v>
      </c>
      <c r="AA82" s="33">
        <v>0</v>
      </c>
      <c r="AB82" s="33">
        <v>0</v>
      </c>
      <c r="AC82" s="33"/>
      <c r="AD82" s="81">
        <v>101.42</v>
      </c>
      <c r="AE82" s="81">
        <v>0</v>
      </c>
      <c r="AF82" s="82">
        <v>0</v>
      </c>
      <c r="AG82" s="82">
        <v>0</v>
      </c>
      <c r="AH82" s="82"/>
      <c r="AI82" s="34">
        <v>0</v>
      </c>
      <c r="AJ82" s="34">
        <v>0</v>
      </c>
      <c r="AK82" s="34"/>
      <c r="AL82" s="10">
        <v>0</v>
      </c>
      <c r="AM82" s="10">
        <v>0</v>
      </c>
      <c r="AN82" s="18">
        <f t="shared" si="18"/>
        <v>0</v>
      </c>
      <c r="AO82" s="18" t="e">
        <f>#REF!-#REF!</f>
        <v>#REF!</v>
      </c>
    </row>
    <row r="83" spans="1:43" x14ac:dyDescent="0.25">
      <c r="C83" t="s">
        <v>138</v>
      </c>
      <c r="D83" s="145" t="s">
        <v>26</v>
      </c>
      <c r="E83" s="81"/>
      <c r="F83" s="81"/>
      <c r="G83" s="82"/>
      <c r="H83" s="82"/>
      <c r="I83" s="81"/>
      <c r="J83" s="81"/>
      <c r="K83" s="82"/>
      <c r="L83" s="82"/>
      <c r="M83" s="81"/>
      <c r="N83" s="81"/>
      <c r="O83" s="82"/>
      <c r="P83" s="82"/>
      <c r="Q83" s="81"/>
      <c r="R83" s="81"/>
      <c r="S83" s="82"/>
      <c r="T83" s="82"/>
      <c r="U83" s="46"/>
      <c r="V83" s="46"/>
      <c r="W83" s="33">
        <v>0</v>
      </c>
      <c r="X83" s="33">
        <v>0</v>
      </c>
      <c r="Y83" s="47">
        <v>0</v>
      </c>
      <c r="Z83" s="47">
        <v>0</v>
      </c>
      <c r="AA83" s="33">
        <v>0</v>
      </c>
      <c r="AB83" s="33">
        <v>0</v>
      </c>
      <c r="AC83" s="33"/>
      <c r="AD83" s="81">
        <v>0</v>
      </c>
      <c r="AE83" s="81">
        <v>0</v>
      </c>
      <c r="AF83" s="82">
        <v>0</v>
      </c>
      <c r="AG83" s="82">
        <v>0</v>
      </c>
      <c r="AH83" s="82"/>
      <c r="AI83" s="34">
        <v>194.85</v>
      </c>
      <c r="AJ83" s="34">
        <v>0</v>
      </c>
      <c r="AK83" s="34">
        <v>194.85</v>
      </c>
      <c r="AL83" s="10">
        <v>0</v>
      </c>
      <c r="AM83" s="10">
        <v>0</v>
      </c>
      <c r="AN83" s="18">
        <f t="shared" si="18"/>
        <v>0</v>
      </c>
      <c r="AO83" s="18" t="e">
        <f>#REF!-#REF!</f>
        <v>#REF!</v>
      </c>
    </row>
    <row r="84" spans="1:43" x14ac:dyDescent="0.25">
      <c r="C84" t="s">
        <v>114</v>
      </c>
      <c r="D84" s="145" t="s">
        <v>110</v>
      </c>
      <c r="E84" s="81"/>
      <c r="F84" s="81"/>
      <c r="G84" s="82"/>
      <c r="H84" s="82"/>
      <c r="I84" s="81">
        <v>146.86000000000001</v>
      </c>
      <c r="J84" s="81"/>
      <c r="K84" s="82"/>
      <c r="L84" s="82"/>
      <c r="M84" s="81"/>
      <c r="N84" s="81"/>
      <c r="O84" s="82"/>
      <c r="P84" s="82"/>
      <c r="Q84" s="81">
        <v>500</v>
      </c>
      <c r="R84" s="81"/>
      <c r="S84" s="82"/>
      <c r="T84" s="82"/>
      <c r="U84" s="46"/>
      <c r="V84" s="46"/>
      <c r="W84" s="33">
        <v>0</v>
      </c>
      <c r="X84" s="33">
        <v>0</v>
      </c>
      <c r="Y84" s="47">
        <v>0</v>
      </c>
      <c r="Z84" s="47">
        <v>0</v>
      </c>
      <c r="AA84" s="33">
        <v>0</v>
      </c>
      <c r="AB84" s="33">
        <v>0</v>
      </c>
      <c r="AC84" s="33"/>
      <c r="AD84" s="81">
        <v>120.17</v>
      </c>
      <c r="AE84" s="81">
        <v>0</v>
      </c>
      <c r="AF84" s="82">
        <v>0</v>
      </c>
      <c r="AG84" s="82">
        <v>0</v>
      </c>
      <c r="AH84" s="82"/>
      <c r="AI84" s="34">
        <v>179.2</v>
      </c>
      <c r="AJ84" s="34">
        <v>0</v>
      </c>
      <c r="AK84" s="34">
        <v>179.2</v>
      </c>
      <c r="AL84" s="10">
        <v>0</v>
      </c>
      <c r="AM84" s="10">
        <v>0</v>
      </c>
      <c r="AN84" s="18">
        <f t="shared" si="18"/>
        <v>0</v>
      </c>
      <c r="AO84" s="18" t="e">
        <f>#REF!-#REF!</f>
        <v>#REF!</v>
      </c>
    </row>
    <row r="85" spans="1:43" x14ac:dyDescent="0.25">
      <c r="C85" t="s">
        <v>112</v>
      </c>
      <c r="D85" s="145" t="s">
        <v>78</v>
      </c>
      <c r="E85" s="81"/>
      <c r="F85" s="81"/>
      <c r="G85" s="82"/>
      <c r="H85" s="82"/>
      <c r="I85" s="81"/>
      <c r="J85" s="81"/>
      <c r="K85" s="82"/>
      <c r="L85" s="82"/>
      <c r="M85" s="81"/>
      <c r="N85" s="81"/>
      <c r="O85" s="82"/>
      <c r="P85" s="82"/>
      <c r="Q85" s="81"/>
      <c r="R85" s="81"/>
      <c r="S85" s="82"/>
      <c r="T85" s="82"/>
      <c r="U85" s="46"/>
      <c r="V85" s="46"/>
      <c r="W85" s="33">
        <v>0</v>
      </c>
      <c r="X85" s="33">
        <v>0</v>
      </c>
      <c r="Y85" s="47">
        <v>0</v>
      </c>
      <c r="Z85" s="47">
        <v>0</v>
      </c>
      <c r="AA85" s="33">
        <v>0</v>
      </c>
      <c r="AB85" s="33">
        <v>0</v>
      </c>
      <c r="AC85" s="33"/>
      <c r="AD85" s="81">
        <v>263.3</v>
      </c>
      <c r="AE85" s="81">
        <v>0</v>
      </c>
      <c r="AF85" s="82">
        <v>0</v>
      </c>
      <c r="AG85" s="82">
        <v>0</v>
      </c>
      <c r="AH85" s="82"/>
      <c r="AI85" s="34">
        <v>184.8</v>
      </c>
      <c r="AJ85" s="34">
        <v>0</v>
      </c>
      <c r="AK85" s="34">
        <v>184.8</v>
      </c>
      <c r="AL85" s="10">
        <v>0</v>
      </c>
      <c r="AM85" s="10">
        <v>0</v>
      </c>
      <c r="AN85" s="18">
        <f t="shared" si="18"/>
        <v>0</v>
      </c>
      <c r="AO85" s="18" t="e">
        <f>#REF!-#REF!</f>
        <v>#REF!</v>
      </c>
    </row>
    <row r="86" spans="1:43" x14ac:dyDescent="0.25">
      <c r="C86" s="2" t="s">
        <v>174</v>
      </c>
      <c r="D86" s="145">
        <v>65021000</v>
      </c>
      <c r="E86" s="81"/>
      <c r="F86" s="81"/>
      <c r="G86" s="82"/>
      <c r="H86" s="82"/>
      <c r="I86" s="81"/>
      <c r="J86" s="81"/>
      <c r="K86" s="82"/>
      <c r="L86" s="82"/>
      <c r="M86" s="81"/>
      <c r="N86" s="81"/>
      <c r="O86" s="82"/>
      <c r="P86" s="82"/>
      <c r="Q86" s="81"/>
      <c r="R86" s="81"/>
      <c r="S86" s="82"/>
      <c r="T86" s="82"/>
      <c r="U86" s="46"/>
      <c r="V86" s="46"/>
      <c r="W86" s="33">
        <v>175</v>
      </c>
      <c r="X86" s="33">
        <v>0</v>
      </c>
      <c r="Y86" s="47">
        <v>195.53</v>
      </c>
      <c r="Z86" s="47">
        <v>0</v>
      </c>
      <c r="AA86" s="33">
        <v>0</v>
      </c>
      <c r="AB86" s="33">
        <v>0</v>
      </c>
      <c r="AC86" s="33"/>
      <c r="AD86" s="81">
        <v>0</v>
      </c>
      <c r="AE86" s="81">
        <v>0</v>
      </c>
      <c r="AF86" s="82">
        <v>0</v>
      </c>
      <c r="AG86" s="82">
        <v>0</v>
      </c>
      <c r="AH86" s="82"/>
      <c r="AI86" s="34">
        <v>0</v>
      </c>
      <c r="AJ86" s="34">
        <v>0</v>
      </c>
      <c r="AK86" s="34"/>
      <c r="AL86" s="10"/>
      <c r="AM86" s="10"/>
      <c r="AN86" s="18"/>
      <c r="AO86" s="18"/>
    </row>
    <row r="87" spans="1:43" x14ac:dyDescent="0.25">
      <c r="C87" t="s">
        <v>750</v>
      </c>
      <c r="D87" s="145" t="s">
        <v>19</v>
      </c>
      <c r="E87" s="81"/>
      <c r="F87" s="81"/>
      <c r="G87" s="82"/>
      <c r="H87" s="82"/>
      <c r="I87" s="81"/>
      <c r="J87" s="81">
        <v>6410</v>
      </c>
      <c r="K87" s="82"/>
      <c r="L87" s="82">
        <v>18000</v>
      </c>
      <c r="M87" s="81"/>
      <c r="N87" s="81">
        <v>18252</v>
      </c>
      <c r="O87" s="82"/>
      <c r="P87" s="82">
        <v>10000</v>
      </c>
      <c r="Q87" s="81"/>
      <c r="R87" s="81">
        <v>8038</v>
      </c>
      <c r="S87" s="82"/>
      <c r="T87" s="82">
        <v>12000</v>
      </c>
      <c r="U87" s="46"/>
      <c r="V87" s="46">
        <f>11385.49+100</f>
        <v>11485.49</v>
      </c>
      <c r="W87" s="33">
        <v>0</v>
      </c>
      <c r="X87" s="33">
        <v>2250</v>
      </c>
      <c r="Y87" s="47">
        <v>0</v>
      </c>
      <c r="Z87" s="47">
        <v>8459</v>
      </c>
      <c r="AA87" s="33">
        <v>0</v>
      </c>
      <c r="AB87" s="33">
        <v>20000</v>
      </c>
      <c r="AC87" s="33"/>
      <c r="AD87" s="81">
        <f>2238+150</f>
        <v>2388</v>
      </c>
      <c r="AE87" s="81">
        <v>28315.58</v>
      </c>
      <c r="AF87" s="82">
        <v>0</v>
      </c>
      <c r="AG87" s="82">
        <v>8000</v>
      </c>
      <c r="AH87" s="82"/>
      <c r="AI87" s="34">
        <v>240</v>
      </c>
      <c r="AJ87" s="34">
        <v>12183.15</v>
      </c>
      <c r="AK87" s="34">
        <v>-11943.15</v>
      </c>
      <c r="AL87" s="10">
        <v>0</v>
      </c>
      <c r="AM87" s="10">
        <f>-180.09+7846.63+863</f>
        <v>8529.5400000000009</v>
      </c>
      <c r="AN87" s="18">
        <f t="shared" si="18"/>
        <v>-8529.5400000000009</v>
      </c>
      <c r="AO87" s="18" t="e">
        <f>#REF!-#REF!</f>
        <v>#REF!</v>
      </c>
      <c r="AP87" s="61" t="s">
        <v>753</v>
      </c>
      <c r="AQ87" s="54"/>
    </row>
    <row r="88" spans="1:43" x14ac:dyDescent="0.25">
      <c r="C88" s="103" t="s">
        <v>748</v>
      </c>
      <c r="D88" s="145" t="s">
        <v>4</v>
      </c>
      <c r="E88" s="81"/>
      <c r="F88" s="81"/>
      <c r="G88" s="82"/>
      <c r="H88" s="180">
        <v>11110</v>
      </c>
      <c r="I88" s="81"/>
      <c r="J88" s="81">
        <v>4810</v>
      </c>
      <c r="K88" s="82"/>
      <c r="L88" s="82">
        <v>1550</v>
      </c>
      <c r="M88" s="81"/>
      <c r="N88" s="81"/>
      <c r="O88" s="82"/>
      <c r="P88" s="82"/>
      <c r="Q88" s="81"/>
      <c r="R88" s="81"/>
      <c r="S88" s="82"/>
      <c r="T88" s="82"/>
      <c r="U88" s="46"/>
      <c r="V88" s="46"/>
      <c r="W88" s="33">
        <v>0</v>
      </c>
      <c r="X88" s="33">
        <v>4750</v>
      </c>
      <c r="Y88" s="47">
        <v>0</v>
      </c>
      <c r="Z88" s="47">
        <f>5644.51+120+120+120</f>
        <v>6004.51</v>
      </c>
      <c r="AA88" s="33">
        <v>0</v>
      </c>
      <c r="AB88" s="33">
        <v>0</v>
      </c>
      <c r="AC88" s="33"/>
      <c r="AD88" s="81">
        <v>0</v>
      </c>
      <c r="AE88" s="81">
        <v>0</v>
      </c>
      <c r="AF88" s="82">
        <v>0</v>
      </c>
      <c r="AG88" s="82">
        <v>0</v>
      </c>
      <c r="AH88" s="82"/>
      <c r="AI88" s="34">
        <v>0</v>
      </c>
      <c r="AJ88" s="34">
        <v>0</v>
      </c>
      <c r="AK88" s="34"/>
      <c r="AL88" s="10"/>
      <c r="AM88" s="10"/>
      <c r="AN88" s="18"/>
      <c r="AO88" s="18"/>
    </row>
    <row r="89" spans="1:43" x14ac:dyDescent="0.25">
      <c r="C89" s="103" t="s">
        <v>749</v>
      </c>
      <c r="D89" s="145" t="s">
        <v>4</v>
      </c>
      <c r="E89" s="81"/>
      <c r="F89" s="81"/>
      <c r="G89" s="82"/>
      <c r="H89" s="180">
        <v>3000</v>
      </c>
      <c r="I89" s="81"/>
      <c r="J89" s="81"/>
      <c r="K89" s="82"/>
      <c r="L89" s="82"/>
      <c r="M89" s="81"/>
      <c r="N89" s="81"/>
      <c r="O89" s="82"/>
      <c r="P89" s="82"/>
      <c r="Q89" s="81"/>
      <c r="R89" s="81"/>
      <c r="S89" s="82"/>
      <c r="T89" s="82"/>
      <c r="U89" s="46"/>
      <c r="V89" s="46"/>
      <c r="W89" s="33"/>
      <c r="X89" s="33">
        <f>11000-1200</f>
        <v>9800</v>
      </c>
      <c r="Y89" s="47"/>
      <c r="Z89" s="47"/>
      <c r="AA89" s="33"/>
      <c r="AB89" s="33"/>
      <c r="AC89" s="33"/>
      <c r="AD89" s="81"/>
      <c r="AE89" s="81"/>
      <c r="AF89" s="82"/>
      <c r="AG89" s="82"/>
      <c r="AH89" s="82"/>
      <c r="AI89" s="34"/>
      <c r="AJ89" s="34"/>
      <c r="AK89" s="34"/>
      <c r="AL89" s="10"/>
      <c r="AM89" s="10"/>
      <c r="AN89" s="18"/>
      <c r="AO89" s="18"/>
    </row>
    <row r="90" spans="1:43" x14ac:dyDescent="0.25">
      <c r="C90" s="103" t="s">
        <v>751</v>
      </c>
      <c r="D90" s="145" t="s">
        <v>4</v>
      </c>
      <c r="E90" s="81"/>
      <c r="F90" s="81"/>
      <c r="G90" s="82"/>
      <c r="H90" s="180">
        <v>5000</v>
      </c>
      <c r="I90" s="81"/>
      <c r="J90" s="81"/>
      <c r="K90" s="82"/>
      <c r="L90" s="82"/>
      <c r="M90" s="81"/>
      <c r="N90" s="81"/>
      <c r="O90" s="82"/>
      <c r="P90" s="82"/>
      <c r="Q90" s="81"/>
      <c r="R90" s="81"/>
      <c r="S90" s="82"/>
      <c r="T90" s="82"/>
      <c r="U90" s="46"/>
      <c r="V90" s="46"/>
      <c r="W90" s="33"/>
      <c r="X90" s="33"/>
      <c r="Y90" s="47"/>
      <c r="Z90" s="47"/>
      <c r="AA90" s="33"/>
      <c r="AB90" s="33"/>
      <c r="AC90" s="33"/>
      <c r="AD90" s="81"/>
      <c r="AE90" s="81"/>
      <c r="AF90" s="82"/>
      <c r="AG90" s="82"/>
      <c r="AH90" s="82"/>
      <c r="AI90" s="34"/>
      <c r="AJ90" s="34"/>
      <c r="AK90" s="34"/>
      <c r="AL90" s="10"/>
      <c r="AM90" s="10"/>
      <c r="AN90" s="18"/>
      <c r="AO90" s="18"/>
    </row>
    <row r="91" spans="1:43" x14ac:dyDescent="0.25">
      <c r="C91" t="s">
        <v>9</v>
      </c>
      <c r="D91" s="145" t="s">
        <v>16</v>
      </c>
      <c r="E91" s="81"/>
      <c r="F91" s="81"/>
      <c r="G91" s="82"/>
      <c r="H91" s="180">
        <v>500</v>
      </c>
      <c r="I91" s="81"/>
      <c r="J91" s="81"/>
      <c r="K91" s="82"/>
      <c r="L91" s="82"/>
      <c r="M91" s="81"/>
      <c r="N91" s="81"/>
      <c r="O91" s="82"/>
      <c r="P91" s="82"/>
      <c r="Q91" s="81"/>
      <c r="R91" s="81"/>
      <c r="S91" s="82"/>
      <c r="T91" s="82"/>
      <c r="U91" s="46"/>
      <c r="V91" s="46"/>
      <c r="W91" s="33">
        <v>0</v>
      </c>
      <c r="X91" s="33">
        <v>0</v>
      </c>
      <c r="Y91" s="47">
        <v>0</v>
      </c>
      <c r="Z91" s="47">
        <v>0</v>
      </c>
      <c r="AA91" s="33">
        <v>0</v>
      </c>
      <c r="AB91" s="33">
        <v>0</v>
      </c>
      <c r="AC91" s="33"/>
      <c r="AD91" s="81">
        <v>0</v>
      </c>
      <c r="AE91" s="81">
        <v>0</v>
      </c>
      <c r="AF91" s="82">
        <v>0</v>
      </c>
      <c r="AG91" s="82">
        <v>4000</v>
      </c>
      <c r="AH91" s="82"/>
      <c r="AI91" s="34">
        <v>135</v>
      </c>
      <c r="AJ91" s="34">
        <v>135</v>
      </c>
      <c r="AK91" s="34">
        <v>0</v>
      </c>
      <c r="AL91" s="10">
        <v>0</v>
      </c>
      <c r="AM91" s="10">
        <v>3165</v>
      </c>
      <c r="AN91" s="18">
        <f t="shared" si="18"/>
        <v>-3165</v>
      </c>
      <c r="AO91" s="18" t="e">
        <f>#REF!-#REF!</f>
        <v>#REF!</v>
      </c>
      <c r="AP91" s="61"/>
    </row>
    <row r="92" spans="1:43" x14ac:dyDescent="0.25">
      <c r="C92" t="s">
        <v>158</v>
      </c>
      <c r="D92" s="145" t="s">
        <v>4</v>
      </c>
      <c r="E92" s="81"/>
      <c r="F92" s="81"/>
      <c r="G92" s="82"/>
      <c r="H92" s="82"/>
      <c r="I92" s="81"/>
      <c r="J92" s="81"/>
      <c r="K92" s="82"/>
      <c r="L92" s="82"/>
      <c r="M92" s="81"/>
      <c r="N92" s="81">
        <v>1460</v>
      </c>
      <c r="O92" s="82"/>
      <c r="P92" s="82"/>
      <c r="Q92" s="81"/>
      <c r="R92" s="81"/>
      <c r="S92" s="82"/>
      <c r="T92" s="82"/>
      <c r="U92" s="46"/>
      <c r="V92" s="46"/>
      <c r="W92" s="33">
        <v>0</v>
      </c>
      <c r="X92" s="33">
        <v>1200</v>
      </c>
      <c r="Y92" s="47">
        <v>0</v>
      </c>
      <c r="Z92" s="47">
        <v>887</v>
      </c>
      <c r="AA92" s="33">
        <v>0</v>
      </c>
      <c r="AB92" s="33">
        <v>1200</v>
      </c>
      <c r="AC92" s="33"/>
      <c r="AD92" s="81">
        <v>20</v>
      </c>
      <c r="AE92" s="81">
        <v>640</v>
      </c>
      <c r="AF92" s="82">
        <v>0</v>
      </c>
      <c r="AG92" s="82">
        <v>0</v>
      </c>
      <c r="AH92" s="82"/>
      <c r="AI92" s="34">
        <v>2334.31</v>
      </c>
      <c r="AJ92" s="34">
        <v>2334.31</v>
      </c>
      <c r="AK92" s="34">
        <v>0</v>
      </c>
      <c r="AL92" s="10">
        <v>0</v>
      </c>
      <c r="AM92" s="10">
        <v>0</v>
      </c>
      <c r="AN92" s="18">
        <f t="shared" si="18"/>
        <v>0</v>
      </c>
      <c r="AO92" s="18" t="e">
        <f>#REF!-#REF!</f>
        <v>#REF!</v>
      </c>
    </row>
    <row r="93" spans="1:43" x14ac:dyDescent="0.25">
      <c r="D93" s="145"/>
      <c r="E93" s="81"/>
      <c r="F93" s="81"/>
      <c r="G93" s="82"/>
      <c r="H93" s="82"/>
      <c r="I93" s="81"/>
      <c r="J93" s="81"/>
      <c r="K93" s="82"/>
      <c r="L93" s="82"/>
      <c r="M93" s="81"/>
      <c r="N93" s="81"/>
      <c r="O93" s="82"/>
      <c r="P93" s="82"/>
      <c r="Q93" s="81"/>
      <c r="R93" s="81"/>
      <c r="S93" s="82"/>
      <c r="T93" s="82"/>
      <c r="U93" s="46"/>
      <c r="V93" s="46"/>
      <c r="W93" s="33"/>
      <c r="X93" s="33"/>
      <c r="Y93" s="42"/>
      <c r="Z93" s="42"/>
      <c r="AA93" s="33"/>
      <c r="AB93" s="33"/>
      <c r="AC93" s="33"/>
      <c r="AD93" s="81"/>
      <c r="AE93" s="81"/>
      <c r="AF93" s="82"/>
      <c r="AG93" s="82"/>
      <c r="AH93" s="82"/>
      <c r="AI93" s="34"/>
      <c r="AJ93" s="34"/>
      <c r="AK93" s="34"/>
      <c r="AL93" s="10"/>
      <c r="AM93" s="10"/>
      <c r="AN93" s="18"/>
      <c r="AO93" s="18"/>
    </row>
    <row r="94" spans="1:43" x14ac:dyDescent="0.25">
      <c r="A94" s="3" t="s">
        <v>56</v>
      </c>
      <c r="B94" s="14" t="s">
        <v>85</v>
      </c>
      <c r="C94" s="14"/>
      <c r="D94" s="152"/>
      <c r="E94" s="78">
        <f t="shared" ref="E94:F94" si="19">SUM(E96:E97)</f>
        <v>0</v>
      </c>
      <c r="F94" s="78">
        <f t="shared" si="19"/>
        <v>0</v>
      </c>
      <c r="G94" s="79">
        <f t="shared" ref="G94:H94" si="20">SUM(G96:G97)</f>
        <v>2500</v>
      </c>
      <c r="H94" s="79">
        <f t="shared" si="20"/>
        <v>0</v>
      </c>
      <c r="I94" s="78">
        <f t="shared" ref="I94:J94" si="21">SUM(I96:I97)</f>
        <v>2500</v>
      </c>
      <c r="J94" s="78">
        <f t="shared" si="21"/>
        <v>0</v>
      </c>
      <c r="K94" s="79">
        <f t="shared" ref="K94:L94" si="22">SUM(K96:K97)</f>
        <v>3400</v>
      </c>
      <c r="L94" s="79">
        <f t="shared" si="22"/>
        <v>0</v>
      </c>
      <c r="M94" s="78">
        <f t="shared" ref="M94:N94" si="23">SUM(M96:M97)</f>
        <v>2750</v>
      </c>
      <c r="N94" s="78">
        <f t="shared" si="23"/>
        <v>0</v>
      </c>
      <c r="O94" s="79">
        <f t="shared" ref="O94:P94" si="24">SUM(O96:O97)</f>
        <v>3400</v>
      </c>
      <c r="P94" s="79">
        <f t="shared" si="24"/>
        <v>0</v>
      </c>
      <c r="Q94" s="78">
        <f t="shared" ref="Q94:R94" si="25">SUM(Q96:Q97)</f>
        <v>3368.53</v>
      </c>
      <c r="R94" s="78">
        <f t="shared" si="25"/>
        <v>0</v>
      </c>
      <c r="S94" s="79">
        <f t="shared" ref="S94:T94" si="26">SUM(S96:S97)</f>
        <v>3250</v>
      </c>
      <c r="T94" s="79">
        <f t="shared" si="26"/>
        <v>0</v>
      </c>
      <c r="U94" s="45">
        <f t="shared" ref="U94:V94" si="27">SUM(U96:U97)</f>
        <v>3250</v>
      </c>
      <c r="V94" s="45">
        <f t="shared" si="27"/>
        <v>0</v>
      </c>
      <c r="W94" s="31">
        <f>SUM(W96:W97)</f>
        <v>3000</v>
      </c>
      <c r="X94" s="31">
        <v>0</v>
      </c>
      <c r="Y94" s="50">
        <f>SUM(Y96:Y97)</f>
        <v>6000</v>
      </c>
      <c r="Z94" s="50">
        <f>SUM(Z96:Z97)</f>
        <v>0</v>
      </c>
      <c r="AA94" s="31">
        <f>SUM(AA96:AA97)</f>
        <v>4782</v>
      </c>
      <c r="AB94" s="31">
        <v>0</v>
      </c>
      <c r="AC94" s="31"/>
      <c r="AD94" s="78">
        <f>SUM(AD96:AD97)</f>
        <v>4782</v>
      </c>
      <c r="AE94" s="78">
        <f>SUM(AE96:AE97)</f>
        <v>0</v>
      </c>
      <c r="AF94" s="79">
        <v>3000</v>
      </c>
      <c r="AG94" s="79">
        <v>0</v>
      </c>
      <c r="AH94" s="79"/>
      <c r="AI94" s="80">
        <f t="shared" ref="AI94:AO94" si="28">SUM(AI96:AI97)</f>
        <v>5330.87</v>
      </c>
      <c r="AJ94" s="80">
        <f t="shared" si="28"/>
        <v>0</v>
      </c>
      <c r="AK94" s="80">
        <f t="shared" si="28"/>
        <v>5330.87</v>
      </c>
      <c r="AL94" s="26">
        <f>SUM(AL96:AL97)</f>
        <v>3400</v>
      </c>
      <c r="AM94" s="7">
        <f>SUM(AM96:AM97)</f>
        <v>0</v>
      </c>
      <c r="AN94" s="19">
        <f>SUM(AN96:AN97)</f>
        <v>3400</v>
      </c>
      <c r="AO94" s="6" t="e">
        <f t="shared" si="28"/>
        <v>#REF!</v>
      </c>
    </row>
    <row r="95" spans="1:43" x14ac:dyDescent="0.25">
      <c r="A95" s="4"/>
      <c r="B95" s="4"/>
      <c r="C95" s="4"/>
      <c r="D95" s="153"/>
      <c r="E95" s="78"/>
      <c r="F95" s="78">
        <f>F94-E94</f>
        <v>0</v>
      </c>
      <c r="G95" s="79"/>
      <c r="H95" s="79">
        <f>H94-G94</f>
        <v>-2500</v>
      </c>
      <c r="I95" s="78"/>
      <c r="J95" s="78">
        <f>J94-I94</f>
        <v>-2500</v>
      </c>
      <c r="K95" s="79"/>
      <c r="L95" s="79">
        <f>L94-K94</f>
        <v>-3400</v>
      </c>
      <c r="M95" s="78"/>
      <c r="N95" s="78">
        <f>N94-M94</f>
        <v>-2750</v>
      </c>
      <c r="O95" s="79"/>
      <c r="P95" s="79">
        <f>P94-O94</f>
        <v>-3400</v>
      </c>
      <c r="Q95" s="78"/>
      <c r="R95" s="78">
        <f>R94-Q94</f>
        <v>-3368.53</v>
      </c>
      <c r="S95" s="79"/>
      <c r="T95" s="79">
        <f>T94-S94</f>
        <v>-3250</v>
      </c>
      <c r="U95" s="46"/>
      <c r="V95" s="45">
        <f>V94-U94</f>
        <v>-3250</v>
      </c>
      <c r="W95" s="31"/>
      <c r="X95" s="31">
        <f>X94-W94</f>
        <v>-3000</v>
      </c>
      <c r="Y95" s="51"/>
      <c r="Z95" s="51">
        <f>Z94-Y94</f>
        <v>-6000</v>
      </c>
      <c r="AA95" s="31"/>
      <c r="AB95" s="31">
        <f>AB94-AA94</f>
        <v>-4782</v>
      </c>
      <c r="AC95" s="31"/>
      <c r="AD95" s="78"/>
      <c r="AE95" s="78">
        <f>AE94-AD94</f>
        <v>-4782</v>
      </c>
      <c r="AF95" s="79"/>
      <c r="AG95" s="79">
        <f>AG94-AF94</f>
        <v>-3000</v>
      </c>
      <c r="AH95" s="79"/>
      <c r="AI95" s="80"/>
      <c r="AJ95" s="80">
        <f>AJ94-AI94</f>
        <v>-5330.87</v>
      </c>
      <c r="AK95" s="80"/>
      <c r="AL95" s="28"/>
      <c r="AM95" s="9">
        <f>AM94-AL94</f>
        <v>-3400</v>
      </c>
      <c r="AN95" s="22"/>
      <c r="AO95" s="8"/>
    </row>
    <row r="96" spans="1:43" x14ac:dyDescent="0.25">
      <c r="C96" t="s">
        <v>156</v>
      </c>
      <c r="D96" s="145" t="s">
        <v>80</v>
      </c>
      <c r="E96" s="81"/>
      <c r="F96" s="81"/>
      <c r="G96" s="82"/>
      <c r="H96" s="82"/>
      <c r="I96" s="81"/>
      <c r="J96" s="81"/>
      <c r="K96" s="82"/>
      <c r="L96" s="82"/>
      <c r="M96" s="81"/>
      <c r="N96" s="81"/>
      <c r="O96" s="82">
        <v>0</v>
      </c>
      <c r="P96" s="82"/>
      <c r="Q96" s="81">
        <v>0</v>
      </c>
      <c r="R96" s="81"/>
      <c r="S96" s="82">
        <v>1500</v>
      </c>
      <c r="T96" s="82"/>
      <c r="U96" s="46">
        <v>1500</v>
      </c>
      <c r="V96" s="46"/>
      <c r="W96" s="33">
        <v>2000</v>
      </c>
      <c r="X96" s="33">
        <v>0</v>
      </c>
      <c r="Y96" s="47">
        <v>4000</v>
      </c>
      <c r="Z96" s="47">
        <v>0</v>
      </c>
      <c r="AA96" s="33">
        <v>4350</v>
      </c>
      <c r="AB96" s="33">
        <v>0</v>
      </c>
      <c r="AC96" s="33"/>
      <c r="AD96" s="81">
        <v>4350</v>
      </c>
      <c r="AE96" s="81">
        <v>0</v>
      </c>
      <c r="AF96" s="82">
        <v>0</v>
      </c>
      <c r="AG96" s="82">
        <v>0</v>
      </c>
      <c r="AH96" s="82"/>
      <c r="AI96" s="34">
        <v>503</v>
      </c>
      <c r="AJ96" s="34">
        <v>0</v>
      </c>
      <c r="AK96" s="34">
        <v>4827.87</v>
      </c>
      <c r="AL96" s="10">
        <v>0</v>
      </c>
      <c r="AM96" s="10">
        <v>0</v>
      </c>
      <c r="AN96" s="18">
        <f>AL96-AM96</f>
        <v>0</v>
      </c>
      <c r="AO96" s="18" t="e">
        <f>#REF!-#REF!</f>
        <v>#REF!</v>
      </c>
      <c r="AP96" s="94"/>
    </row>
    <row r="97" spans="1:43" x14ac:dyDescent="0.25">
      <c r="C97" t="s">
        <v>94</v>
      </c>
      <c r="D97" s="145" t="s">
        <v>103</v>
      </c>
      <c r="E97" s="81"/>
      <c r="F97" s="81"/>
      <c r="G97" s="82">
        <v>2500</v>
      </c>
      <c r="H97" s="82"/>
      <c r="I97" s="81">
        <v>2500</v>
      </c>
      <c r="J97" s="81"/>
      <c r="K97" s="82">
        <v>3400</v>
      </c>
      <c r="L97" s="82"/>
      <c r="M97" s="81">
        <v>2750</v>
      </c>
      <c r="N97" s="81"/>
      <c r="O97" s="82">
        <v>3400</v>
      </c>
      <c r="P97" s="82"/>
      <c r="Q97" s="81">
        <v>3368.53</v>
      </c>
      <c r="R97" s="81"/>
      <c r="S97" s="82">
        <v>1750</v>
      </c>
      <c r="T97" s="82"/>
      <c r="U97" s="46">
        <v>1750</v>
      </c>
      <c r="V97" s="46"/>
      <c r="W97" s="33">
        <v>1000</v>
      </c>
      <c r="X97" s="33">
        <v>0</v>
      </c>
      <c r="Y97" s="47">
        <v>2000</v>
      </c>
      <c r="Z97" s="47">
        <v>0</v>
      </c>
      <c r="AA97" s="33">
        <v>432</v>
      </c>
      <c r="AB97" s="33">
        <v>0</v>
      </c>
      <c r="AC97" s="33"/>
      <c r="AD97" s="81">
        <v>432</v>
      </c>
      <c r="AE97" s="81">
        <v>0</v>
      </c>
      <c r="AF97" s="82">
        <v>3000</v>
      </c>
      <c r="AG97" s="82">
        <v>0</v>
      </c>
      <c r="AH97" s="82"/>
      <c r="AI97" s="83">
        <v>4827.87</v>
      </c>
      <c r="AJ97" s="34">
        <v>0</v>
      </c>
      <c r="AK97" s="34">
        <v>503</v>
      </c>
      <c r="AL97" s="10">
        <v>3400</v>
      </c>
      <c r="AM97" s="10">
        <v>0</v>
      </c>
      <c r="AN97" s="18">
        <f>AL97-AM97</f>
        <v>3400</v>
      </c>
      <c r="AO97" s="18" t="e">
        <f>#REF!-#REF!</f>
        <v>#REF!</v>
      </c>
    </row>
    <row r="98" spans="1:43" x14ac:dyDescent="0.25">
      <c r="D98" s="145"/>
      <c r="E98" s="81"/>
      <c r="F98" s="81"/>
      <c r="G98" s="82"/>
      <c r="H98" s="82"/>
      <c r="I98" s="81"/>
      <c r="J98" s="81"/>
      <c r="K98" s="82"/>
      <c r="L98" s="82"/>
      <c r="M98" s="81"/>
      <c r="N98" s="81"/>
      <c r="O98" s="82"/>
      <c r="P98" s="82"/>
      <c r="Q98" s="81"/>
      <c r="R98" s="81"/>
      <c r="S98" s="82"/>
      <c r="T98" s="82"/>
      <c r="U98" s="46"/>
      <c r="V98" s="46"/>
      <c r="W98" s="33"/>
      <c r="X98" s="33"/>
      <c r="Y98" s="42"/>
      <c r="Z98" s="42"/>
      <c r="AA98" s="33"/>
      <c r="AB98" s="33"/>
      <c r="AC98" s="33"/>
      <c r="AD98" s="81"/>
      <c r="AE98" s="81"/>
      <c r="AF98" s="82"/>
      <c r="AG98" s="82"/>
      <c r="AH98" s="82"/>
      <c r="AI98" s="34"/>
      <c r="AJ98" s="34"/>
      <c r="AK98" s="34"/>
      <c r="AL98" s="10"/>
      <c r="AM98" s="10"/>
      <c r="AN98" s="18"/>
      <c r="AO98" s="18"/>
    </row>
    <row r="99" spans="1:43" x14ac:dyDescent="0.25">
      <c r="A99" s="3" t="s">
        <v>101</v>
      </c>
      <c r="B99" s="14" t="s">
        <v>66</v>
      </c>
      <c r="C99" s="14"/>
      <c r="D99" s="152"/>
      <c r="E99" s="78">
        <f t="shared" ref="E99:H99" si="29">SUM(E101:E102)</f>
        <v>0</v>
      </c>
      <c r="F99" s="78">
        <f t="shared" si="29"/>
        <v>0</v>
      </c>
      <c r="G99" s="79">
        <f t="shared" si="29"/>
        <v>3500</v>
      </c>
      <c r="H99" s="79">
        <f t="shared" si="29"/>
        <v>0</v>
      </c>
      <c r="I99" s="78">
        <f t="shared" ref="I99:L99" si="30">SUM(I101:I102)</f>
        <v>3422.29</v>
      </c>
      <c r="J99" s="78">
        <f t="shared" si="30"/>
        <v>0</v>
      </c>
      <c r="K99" s="79">
        <f t="shared" si="30"/>
        <v>3900</v>
      </c>
      <c r="L99" s="79">
        <f t="shared" si="30"/>
        <v>0</v>
      </c>
      <c r="M99" s="78">
        <f t="shared" ref="M99:P99" si="31">SUM(M101:M102)</f>
        <v>3834.79</v>
      </c>
      <c r="N99" s="78">
        <f t="shared" si="31"/>
        <v>0</v>
      </c>
      <c r="O99" s="79">
        <f t="shared" si="31"/>
        <v>3550</v>
      </c>
      <c r="P99" s="79">
        <f t="shared" si="31"/>
        <v>0</v>
      </c>
      <c r="Q99" s="78">
        <f t="shared" ref="Q99:R99" si="32">SUM(Q101:Q102)</f>
        <v>3233.57</v>
      </c>
      <c r="R99" s="78">
        <f t="shared" si="32"/>
        <v>0</v>
      </c>
      <c r="S99" s="79">
        <f t="shared" ref="S99:T99" si="33">SUM(S101:S102)</f>
        <v>3233.57</v>
      </c>
      <c r="T99" s="79">
        <f t="shared" si="33"/>
        <v>0</v>
      </c>
      <c r="U99" s="45">
        <f t="shared" ref="U99:V99" si="34">SUM(U101:U102)</f>
        <v>3233.57</v>
      </c>
      <c r="V99" s="45">
        <f t="shared" si="34"/>
        <v>0</v>
      </c>
      <c r="W99" s="31">
        <f>SUM(W101:W102)</f>
        <v>3533.57</v>
      </c>
      <c r="X99" s="31">
        <v>0</v>
      </c>
      <c r="Y99" s="50">
        <f>SUM(Y101:Y102)</f>
        <v>3536.07</v>
      </c>
      <c r="Z99" s="40">
        <f>SUM(Z101:Z102)</f>
        <v>0</v>
      </c>
      <c r="AA99" s="31">
        <f>SUM(AA101:AA102)</f>
        <v>3233.57</v>
      </c>
      <c r="AB99" s="31">
        <v>0</v>
      </c>
      <c r="AC99" s="31"/>
      <c r="AD99" s="78">
        <f>SUM(AD101:AD102)</f>
        <v>3182.75</v>
      </c>
      <c r="AE99" s="78">
        <f>SUM(AE101:AE102)</f>
        <v>0</v>
      </c>
      <c r="AF99" s="79">
        <v>3092</v>
      </c>
      <c r="AG99" s="79">
        <v>0</v>
      </c>
      <c r="AH99" s="79"/>
      <c r="AI99" s="80">
        <f t="shared" ref="AI99:AO99" si="35">SUM(AI101:AI102)</f>
        <v>3092</v>
      </c>
      <c r="AJ99" s="80">
        <f t="shared" si="35"/>
        <v>0</v>
      </c>
      <c r="AK99" s="80">
        <f t="shared" si="35"/>
        <v>3092</v>
      </c>
      <c r="AL99" s="26">
        <f>SUM(AL101:AL102)</f>
        <v>3092</v>
      </c>
      <c r="AM99" s="7">
        <f>SUM(AM101:AM102)</f>
        <v>0</v>
      </c>
      <c r="AN99" s="19">
        <f>SUM(AN101:AN102)</f>
        <v>3092</v>
      </c>
      <c r="AO99" s="6" t="e">
        <f t="shared" si="35"/>
        <v>#REF!</v>
      </c>
    </row>
    <row r="100" spans="1:43" x14ac:dyDescent="0.25">
      <c r="A100" s="4"/>
      <c r="B100" s="4"/>
      <c r="C100" s="4"/>
      <c r="D100" s="153"/>
      <c r="E100" s="78"/>
      <c r="F100" s="78">
        <f>F99-E99</f>
        <v>0</v>
      </c>
      <c r="G100" s="79"/>
      <c r="H100" s="79">
        <f>H99-G99</f>
        <v>-3500</v>
      </c>
      <c r="I100" s="78"/>
      <c r="J100" s="78">
        <f>J99-I99</f>
        <v>-3422.29</v>
      </c>
      <c r="K100" s="79"/>
      <c r="L100" s="79">
        <f>L99-K99</f>
        <v>-3900</v>
      </c>
      <c r="M100" s="78"/>
      <c r="N100" s="78">
        <f>N99-M99</f>
        <v>-3834.79</v>
      </c>
      <c r="O100" s="79"/>
      <c r="P100" s="79">
        <f>P99-O99</f>
        <v>-3550</v>
      </c>
      <c r="Q100" s="78"/>
      <c r="R100" s="78">
        <f>R99-Q99</f>
        <v>-3233.57</v>
      </c>
      <c r="S100" s="79"/>
      <c r="T100" s="79">
        <f>T99-S99</f>
        <v>-3233.57</v>
      </c>
      <c r="U100" s="46"/>
      <c r="V100" s="45">
        <f>V99-U99</f>
        <v>-3233.57</v>
      </c>
      <c r="W100" s="31"/>
      <c r="X100" s="31">
        <f>X99-W99</f>
        <v>-3533.57</v>
      </c>
      <c r="Y100" s="41"/>
      <c r="Z100" s="51">
        <f>Z99-Y99</f>
        <v>-3536.07</v>
      </c>
      <c r="AA100" s="31"/>
      <c r="AB100" s="31">
        <f>AB99-AA99</f>
        <v>-3233.57</v>
      </c>
      <c r="AC100" s="31"/>
      <c r="AD100" s="78"/>
      <c r="AE100" s="78">
        <f>AE99-AD99</f>
        <v>-3182.75</v>
      </c>
      <c r="AF100" s="79"/>
      <c r="AG100" s="79">
        <f>AG99-AF99</f>
        <v>-3092</v>
      </c>
      <c r="AH100" s="79"/>
      <c r="AI100" s="80"/>
      <c r="AJ100" s="80">
        <f>AJ99-AI99</f>
        <v>-3092</v>
      </c>
      <c r="AK100" s="80"/>
      <c r="AL100" s="28"/>
      <c r="AM100" s="9">
        <f>AM99-AL99</f>
        <v>-3092</v>
      </c>
      <c r="AN100" s="22"/>
      <c r="AO100" s="8"/>
    </row>
    <row r="101" spans="1:43" x14ac:dyDescent="0.25">
      <c r="C101" t="s">
        <v>6</v>
      </c>
      <c r="D101" s="145" t="s">
        <v>82</v>
      </c>
      <c r="E101" s="81"/>
      <c r="F101" s="81"/>
      <c r="G101" s="82">
        <v>3000</v>
      </c>
      <c r="H101" s="82"/>
      <c r="I101" s="81">
        <v>3000</v>
      </c>
      <c r="J101" s="81"/>
      <c r="K101" s="82">
        <v>3400</v>
      </c>
      <c r="L101" s="82"/>
      <c r="M101" s="81">
        <v>3412.5</v>
      </c>
      <c r="N101" s="81"/>
      <c r="O101" s="82">
        <v>3000</v>
      </c>
      <c r="P101" s="82"/>
      <c r="Q101" s="81">
        <v>2850</v>
      </c>
      <c r="R101" s="81"/>
      <c r="S101" s="82">
        <v>2850</v>
      </c>
      <c r="T101" s="82"/>
      <c r="U101" s="46">
        <v>2850</v>
      </c>
      <c r="V101" s="46"/>
      <c r="W101" s="33">
        <v>3150</v>
      </c>
      <c r="X101" s="33">
        <v>0</v>
      </c>
      <c r="Y101" s="47">
        <v>3152.5</v>
      </c>
      <c r="Z101" s="47">
        <v>0</v>
      </c>
      <c r="AA101" s="33">
        <v>2850</v>
      </c>
      <c r="AB101" s="33">
        <v>0</v>
      </c>
      <c r="AC101" s="33"/>
      <c r="AD101" s="81">
        <v>2850</v>
      </c>
      <c r="AE101" s="81">
        <v>0</v>
      </c>
      <c r="AF101" s="82">
        <v>2850</v>
      </c>
      <c r="AG101" s="82">
        <v>0</v>
      </c>
      <c r="AH101" s="82"/>
      <c r="AI101" s="34">
        <v>2850</v>
      </c>
      <c r="AJ101" s="34">
        <v>0</v>
      </c>
      <c r="AK101" s="34">
        <v>2850</v>
      </c>
      <c r="AL101" s="10">
        <v>2850</v>
      </c>
      <c r="AM101" s="10">
        <v>0</v>
      </c>
      <c r="AN101" s="18">
        <f>AL101-AM101</f>
        <v>2850</v>
      </c>
      <c r="AO101" s="18" t="e">
        <f>#REF!-#REF!</f>
        <v>#REF!</v>
      </c>
    </row>
    <row r="102" spans="1:43" x14ac:dyDescent="0.25">
      <c r="C102" t="s">
        <v>152</v>
      </c>
      <c r="D102" s="145" t="s">
        <v>3</v>
      </c>
      <c r="E102" s="81"/>
      <c r="F102" s="81"/>
      <c r="G102" s="82">
        <v>500</v>
      </c>
      <c r="H102" s="82"/>
      <c r="I102" s="81">
        <v>422.29</v>
      </c>
      <c r="J102" s="81"/>
      <c r="K102" s="82">
        <v>500</v>
      </c>
      <c r="L102" s="82"/>
      <c r="M102" s="81">
        <v>422.29</v>
      </c>
      <c r="N102" s="81"/>
      <c r="O102" s="82">
        <v>550</v>
      </c>
      <c r="P102" s="82"/>
      <c r="Q102" s="81">
        <v>383.57</v>
      </c>
      <c r="R102" s="81"/>
      <c r="S102" s="82">
        <v>383.57</v>
      </c>
      <c r="T102" s="82"/>
      <c r="U102" s="46">
        <v>383.57</v>
      </c>
      <c r="V102" s="46"/>
      <c r="W102" s="33">
        <v>383.57</v>
      </c>
      <c r="X102" s="33">
        <v>0</v>
      </c>
      <c r="Y102" s="47">
        <v>383.57</v>
      </c>
      <c r="Z102" s="47">
        <v>0</v>
      </c>
      <c r="AA102" s="33">
        <v>383.57</v>
      </c>
      <c r="AB102" s="33">
        <v>0</v>
      </c>
      <c r="AC102" s="33"/>
      <c r="AD102" s="81">
        <v>332.75</v>
      </c>
      <c r="AE102" s="81">
        <v>0</v>
      </c>
      <c r="AF102" s="82">
        <v>242</v>
      </c>
      <c r="AG102" s="82">
        <v>0</v>
      </c>
      <c r="AH102" s="82"/>
      <c r="AI102" s="34">
        <v>242</v>
      </c>
      <c r="AJ102" s="34">
        <v>0</v>
      </c>
      <c r="AK102" s="34">
        <v>242</v>
      </c>
      <c r="AL102" s="10">
        <v>242</v>
      </c>
      <c r="AM102" s="10">
        <v>0</v>
      </c>
      <c r="AN102" s="18">
        <f>AL102-AM102</f>
        <v>242</v>
      </c>
      <c r="AO102" s="18" t="e">
        <f>#REF!-#REF!</f>
        <v>#REF!</v>
      </c>
    </row>
    <row r="103" spans="1:43" x14ac:dyDescent="0.25">
      <c r="D103" s="145"/>
      <c r="E103" s="81"/>
      <c r="F103" s="81"/>
      <c r="G103" s="82"/>
      <c r="H103" s="82"/>
      <c r="I103" s="81"/>
      <c r="J103" s="81"/>
      <c r="K103" s="82"/>
      <c r="L103" s="82"/>
      <c r="M103" s="81"/>
      <c r="N103" s="81"/>
      <c r="O103" s="82"/>
      <c r="P103" s="82"/>
      <c r="Q103" s="81"/>
      <c r="R103" s="81"/>
      <c r="S103" s="82"/>
      <c r="T103" s="82"/>
      <c r="U103" s="46"/>
      <c r="V103" s="46"/>
      <c r="W103" s="33"/>
      <c r="X103" s="33"/>
      <c r="Y103" s="42"/>
      <c r="Z103" s="42"/>
      <c r="AA103" s="33"/>
      <c r="AB103" s="33"/>
      <c r="AC103" s="33"/>
      <c r="AD103" s="81"/>
      <c r="AE103" s="81"/>
      <c r="AF103" s="82"/>
      <c r="AG103" s="82"/>
      <c r="AH103" s="82"/>
      <c r="AI103" s="34"/>
      <c r="AJ103" s="34"/>
      <c r="AK103" s="34"/>
      <c r="AL103" s="10"/>
      <c r="AM103" s="10"/>
      <c r="AN103" s="18"/>
      <c r="AO103" s="18"/>
    </row>
    <row r="104" spans="1:43" x14ac:dyDescent="0.25">
      <c r="A104" s="3" t="s">
        <v>15</v>
      </c>
      <c r="B104" s="14" t="s">
        <v>12</v>
      </c>
      <c r="C104" s="14"/>
      <c r="D104" s="152"/>
      <c r="E104" s="78">
        <f t="shared" ref="E104:H104" si="36">SUM(E106:E106)</f>
        <v>0</v>
      </c>
      <c r="F104" s="78">
        <f t="shared" si="36"/>
        <v>0</v>
      </c>
      <c r="G104" s="114">
        <f t="shared" si="36"/>
        <v>6000</v>
      </c>
      <c r="H104" s="114">
        <f t="shared" si="36"/>
        <v>0</v>
      </c>
      <c r="I104" s="78">
        <f t="shared" ref="I104:L104" si="37">SUM(I106:I106)</f>
        <v>5662.26</v>
      </c>
      <c r="J104" s="78">
        <f t="shared" si="37"/>
        <v>0</v>
      </c>
      <c r="K104" s="114">
        <f t="shared" si="37"/>
        <v>6000</v>
      </c>
      <c r="L104" s="114">
        <f t="shared" si="37"/>
        <v>0</v>
      </c>
      <c r="M104" s="78">
        <f t="shared" ref="M104:P104" si="38">SUM(M106:M106)</f>
        <v>5459.96</v>
      </c>
      <c r="N104" s="78">
        <f t="shared" si="38"/>
        <v>0</v>
      </c>
      <c r="O104" s="114">
        <f t="shared" si="38"/>
        <v>6360</v>
      </c>
      <c r="P104" s="114">
        <f t="shared" si="38"/>
        <v>0</v>
      </c>
      <c r="Q104" s="78">
        <f t="shared" ref="Q104:R104" si="39">SUM(Q106:Q106)</f>
        <v>10135.07</v>
      </c>
      <c r="R104" s="78">
        <f t="shared" si="39"/>
        <v>0</v>
      </c>
      <c r="S104" s="114">
        <f t="shared" ref="S104:T104" si="40">SUM(S106:S106)</f>
        <v>11400</v>
      </c>
      <c r="T104" s="114">
        <f t="shared" si="40"/>
        <v>0</v>
      </c>
      <c r="U104" s="45">
        <f t="shared" ref="U104:V104" si="41">SUM(U106:U106)</f>
        <v>11395.55</v>
      </c>
      <c r="V104" s="45">
        <f t="shared" si="41"/>
        <v>0</v>
      </c>
      <c r="W104" s="31">
        <f>SUM(W106:W106)</f>
        <v>12559.29</v>
      </c>
      <c r="X104" s="31">
        <v>0</v>
      </c>
      <c r="Y104" s="50">
        <f>SUM(Y106:Y106)</f>
        <v>11247.05</v>
      </c>
      <c r="Z104" s="40">
        <f>SUM(Z106:Z106)</f>
        <v>0</v>
      </c>
      <c r="AA104" s="31">
        <f>SUM(AA106:AA106)</f>
        <v>12559.29</v>
      </c>
      <c r="AB104" s="31">
        <v>0</v>
      </c>
      <c r="AC104" s="31"/>
      <c r="AD104" s="78">
        <f>SUM(AD106:AD106)</f>
        <v>12559.29</v>
      </c>
      <c r="AE104" s="78">
        <f>SUM(AE106:AE106)</f>
        <v>78.569999999999993</v>
      </c>
      <c r="AF104" s="79">
        <v>15000</v>
      </c>
      <c r="AG104" s="79">
        <v>0</v>
      </c>
      <c r="AH104" s="79"/>
      <c r="AI104" s="80">
        <f t="shared" ref="AI104:AO104" si="42">SUM(AI106:AI106)</f>
        <v>13065.7</v>
      </c>
      <c r="AJ104" s="80">
        <f t="shared" si="42"/>
        <v>531.59</v>
      </c>
      <c r="AK104" s="80">
        <f t="shared" si="42"/>
        <v>12534.11</v>
      </c>
      <c r="AL104" s="26">
        <f t="shared" si="42"/>
        <v>11402.99</v>
      </c>
      <c r="AM104" s="7">
        <f t="shared" si="42"/>
        <v>0</v>
      </c>
      <c r="AN104" s="11">
        <f t="shared" si="42"/>
        <v>11402.99</v>
      </c>
      <c r="AO104" s="6" t="e">
        <f t="shared" si="42"/>
        <v>#REF!</v>
      </c>
    </row>
    <row r="105" spans="1:43" x14ac:dyDescent="0.25">
      <c r="A105" s="4"/>
      <c r="B105" s="4"/>
      <c r="C105" s="4"/>
      <c r="D105" s="153"/>
      <c r="E105" s="78"/>
      <c r="F105" s="78">
        <f>F104-E104</f>
        <v>0</v>
      </c>
      <c r="G105" s="114"/>
      <c r="H105" s="114">
        <f>H104-G104</f>
        <v>-6000</v>
      </c>
      <c r="I105" s="78"/>
      <c r="J105" s="78">
        <f>J104-I104</f>
        <v>-5662.26</v>
      </c>
      <c r="K105" s="114"/>
      <c r="L105" s="114">
        <f>L104-K104</f>
        <v>-6000</v>
      </c>
      <c r="M105" s="78"/>
      <c r="N105" s="78">
        <f>N104-M104</f>
        <v>-5459.96</v>
      </c>
      <c r="O105" s="114"/>
      <c r="P105" s="114">
        <f>P104-O104</f>
        <v>-6360</v>
      </c>
      <c r="Q105" s="78"/>
      <c r="R105" s="78">
        <f>R104-Q104</f>
        <v>-10135.07</v>
      </c>
      <c r="S105" s="114"/>
      <c r="T105" s="114">
        <f>T104-S104</f>
        <v>-11400</v>
      </c>
      <c r="U105" s="46"/>
      <c r="V105" s="45">
        <f>V104-U104</f>
        <v>-11395.55</v>
      </c>
      <c r="W105" s="31"/>
      <c r="X105" s="31">
        <f>X104-W104</f>
        <v>-12559.29</v>
      </c>
      <c r="Y105" s="41"/>
      <c r="Z105" s="45">
        <f>Z104-Y104</f>
        <v>-11247.05</v>
      </c>
      <c r="AA105" s="31"/>
      <c r="AB105" s="31">
        <f>AB104-AA104</f>
        <v>-12559.29</v>
      </c>
      <c r="AC105" s="31"/>
      <c r="AD105" s="78"/>
      <c r="AE105" s="78">
        <f>AE104-AD104</f>
        <v>-12480.720000000001</v>
      </c>
      <c r="AF105" s="79"/>
      <c r="AG105" s="79">
        <f>AG104-AF104</f>
        <v>-15000</v>
      </c>
      <c r="AH105" s="79"/>
      <c r="AI105" s="80"/>
      <c r="AJ105" s="80">
        <f>AJ104-AI104</f>
        <v>-12534.11</v>
      </c>
      <c r="AK105" s="80"/>
      <c r="AL105" s="28"/>
      <c r="AM105" s="9">
        <f>AM104-AL104</f>
        <v>-11402.99</v>
      </c>
      <c r="AN105" s="21"/>
      <c r="AO105" s="8"/>
    </row>
    <row r="106" spans="1:43" x14ac:dyDescent="0.25">
      <c r="C106" t="s">
        <v>125</v>
      </c>
      <c r="D106" s="145" t="s">
        <v>1</v>
      </c>
      <c r="E106" s="81"/>
      <c r="F106" s="81"/>
      <c r="G106" s="82">
        <v>6000</v>
      </c>
      <c r="H106" s="82"/>
      <c r="I106" s="81">
        <v>5662.26</v>
      </c>
      <c r="J106" s="81"/>
      <c r="K106" s="82">
        <v>6000</v>
      </c>
      <c r="L106" s="82"/>
      <c r="M106" s="81">
        <v>5459.96</v>
      </c>
      <c r="N106" s="81"/>
      <c r="O106" s="82">
        <v>6360</v>
      </c>
      <c r="P106" s="82"/>
      <c r="Q106" s="81">
        <v>10135.07</v>
      </c>
      <c r="R106" s="81"/>
      <c r="S106" s="82">
        <v>11400</v>
      </c>
      <c r="T106" s="82"/>
      <c r="U106" s="46">
        <v>11395.55</v>
      </c>
      <c r="V106" s="46"/>
      <c r="W106" s="33">
        <v>12559.29</v>
      </c>
      <c r="X106" s="33">
        <v>0</v>
      </c>
      <c r="Y106" s="47">
        <v>11247.05</v>
      </c>
      <c r="Z106" s="47">
        <v>0</v>
      </c>
      <c r="AA106" s="33">
        <v>12559.29</v>
      </c>
      <c r="AB106" s="33">
        <v>0</v>
      </c>
      <c r="AC106" s="33"/>
      <c r="AD106" s="81">
        <f>13026.66+140.85-608.22</f>
        <v>12559.29</v>
      </c>
      <c r="AE106" s="81">
        <v>78.569999999999993</v>
      </c>
      <c r="AF106" s="82">
        <v>15000</v>
      </c>
      <c r="AG106" s="82">
        <v>0</v>
      </c>
      <c r="AH106" s="82"/>
      <c r="AI106" s="34">
        <v>13065.7</v>
      </c>
      <c r="AJ106" s="34">
        <v>531.59</v>
      </c>
      <c r="AK106" s="34">
        <v>12534.11</v>
      </c>
      <c r="AL106" s="10">
        <v>11402.99</v>
      </c>
      <c r="AM106" s="10">
        <v>0</v>
      </c>
      <c r="AN106" s="18">
        <f>AL106-AM106</f>
        <v>11402.99</v>
      </c>
      <c r="AO106" s="18" t="e">
        <f>#REF!-#REF!</f>
        <v>#REF!</v>
      </c>
      <c r="AP106" s="54"/>
    </row>
    <row r="107" spans="1:43" x14ac:dyDescent="0.25">
      <c r="C107" s="2"/>
      <c r="D107" s="145"/>
      <c r="E107" s="81"/>
      <c r="F107" s="81"/>
      <c r="G107" s="82"/>
      <c r="H107" s="82"/>
      <c r="I107" s="81"/>
      <c r="J107" s="81"/>
      <c r="K107" s="82"/>
      <c r="L107" s="82"/>
      <c r="M107" s="81"/>
      <c r="N107" s="81"/>
      <c r="O107" s="82"/>
      <c r="P107" s="82"/>
      <c r="Q107" s="81"/>
      <c r="R107" s="81"/>
      <c r="S107" s="82"/>
      <c r="T107" s="82"/>
      <c r="U107" s="46"/>
      <c r="V107" s="46"/>
      <c r="W107" s="33"/>
      <c r="X107" s="33"/>
      <c r="Y107" s="43"/>
      <c r="Z107" s="43"/>
      <c r="AA107" s="33"/>
      <c r="AB107" s="33"/>
      <c r="AC107" s="33"/>
      <c r="AD107" s="81"/>
      <c r="AE107" s="81"/>
      <c r="AF107" s="82"/>
      <c r="AG107" s="82"/>
      <c r="AH107" s="82"/>
      <c r="AI107" s="34"/>
      <c r="AJ107" s="34"/>
      <c r="AK107" s="34"/>
      <c r="AL107" s="10"/>
      <c r="AM107" s="10"/>
      <c r="AN107" s="10"/>
      <c r="AO107" s="10"/>
    </row>
    <row r="108" spans="1:43" x14ac:dyDescent="0.25">
      <c r="A108" s="3" t="s">
        <v>117</v>
      </c>
      <c r="B108" s="14" t="s">
        <v>69</v>
      </c>
      <c r="C108" s="14"/>
      <c r="D108" s="152"/>
      <c r="E108" s="78">
        <f>SUM(E110:E118)</f>
        <v>0</v>
      </c>
      <c r="F108" s="78">
        <f>SUM(F110:F118)</f>
        <v>0</v>
      </c>
      <c r="G108" s="79">
        <f>SUM(G110:G118)</f>
        <v>108919.41499999999</v>
      </c>
      <c r="H108" s="79">
        <f>SUM(H110:H118)</f>
        <v>3656.28</v>
      </c>
      <c r="I108" s="78">
        <f t="shared" ref="I108:AB108" si="43">SUM(I110:I115)</f>
        <v>108732.05</v>
      </c>
      <c r="J108" s="78">
        <f t="shared" si="43"/>
        <v>0</v>
      </c>
      <c r="K108" s="79">
        <f t="shared" si="43"/>
        <v>100480.55679999999</v>
      </c>
      <c r="L108" s="79">
        <f t="shared" si="43"/>
        <v>0</v>
      </c>
      <c r="M108" s="78">
        <f t="shared" si="43"/>
        <v>98086.87999999999</v>
      </c>
      <c r="N108" s="78">
        <f t="shared" si="43"/>
        <v>0</v>
      </c>
      <c r="O108" s="79">
        <f t="shared" si="43"/>
        <v>105391.65</v>
      </c>
      <c r="P108" s="79">
        <f t="shared" si="43"/>
        <v>0</v>
      </c>
      <c r="Q108" s="78">
        <f t="shared" si="43"/>
        <v>97659</v>
      </c>
      <c r="R108" s="78">
        <f t="shared" si="43"/>
        <v>0</v>
      </c>
      <c r="S108" s="79">
        <f t="shared" si="43"/>
        <v>89448.84</v>
      </c>
      <c r="T108" s="79">
        <f t="shared" si="43"/>
        <v>0</v>
      </c>
      <c r="U108" s="45">
        <f t="shared" si="43"/>
        <v>80382.25999999998</v>
      </c>
      <c r="V108" s="45">
        <f t="shared" si="43"/>
        <v>0</v>
      </c>
      <c r="W108" s="31">
        <f t="shared" si="43"/>
        <v>89851.65</v>
      </c>
      <c r="X108" s="31">
        <f t="shared" si="43"/>
        <v>0</v>
      </c>
      <c r="Y108" s="96">
        <f t="shared" si="43"/>
        <v>24295.760000000002</v>
      </c>
      <c r="Z108" s="96">
        <f t="shared" si="43"/>
        <v>0</v>
      </c>
      <c r="AA108" s="31">
        <f t="shared" si="43"/>
        <v>23417.5</v>
      </c>
      <c r="AB108" s="31">
        <f t="shared" si="43"/>
        <v>0</v>
      </c>
      <c r="AC108" s="31"/>
      <c r="AD108" s="78">
        <f>SUM(AD110:AD115)</f>
        <v>74690.41</v>
      </c>
      <c r="AE108" s="78">
        <f>SUM(AE110:AE115)</f>
        <v>963.26</v>
      </c>
      <c r="AF108" s="79">
        <v>95000</v>
      </c>
      <c r="AG108" s="79">
        <v>0</v>
      </c>
      <c r="AH108" s="79"/>
      <c r="AI108" s="80">
        <f t="shared" ref="AI108:AO108" si="44">SUM(AI110:AI115)</f>
        <v>92364.840000000011</v>
      </c>
      <c r="AJ108" s="80">
        <f t="shared" si="44"/>
        <v>2990.18</v>
      </c>
      <c r="AK108" s="80">
        <f t="shared" si="44"/>
        <v>89374.66</v>
      </c>
      <c r="AL108" s="26">
        <f t="shared" si="44"/>
        <v>67311.64</v>
      </c>
      <c r="AM108" s="7">
        <f t="shared" si="44"/>
        <v>0</v>
      </c>
      <c r="AN108" s="11">
        <f t="shared" si="44"/>
        <v>67311.64</v>
      </c>
      <c r="AO108" s="6" t="e">
        <f t="shared" si="44"/>
        <v>#REF!</v>
      </c>
    </row>
    <row r="109" spans="1:43" x14ac:dyDescent="0.25">
      <c r="A109" s="4"/>
      <c r="B109" s="4"/>
      <c r="C109" s="4"/>
      <c r="D109" s="153"/>
      <c r="E109" s="78"/>
      <c r="F109" s="78">
        <f>F108-E108</f>
        <v>0</v>
      </c>
      <c r="G109" s="79"/>
      <c r="H109" s="79">
        <f>H108-G108</f>
        <v>-105263.13499999999</v>
      </c>
      <c r="I109" s="78"/>
      <c r="J109" s="78">
        <f>J108-I108</f>
        <v>-108732.05</v>
      </c>
      <c r="K109" s="79"/>
      <c r="L109" s="79">
        <f>L108-K108</f>
        <v>-100480.55679999999</v>
      </c>
      <c r="M109" s="78"/>
      <c r="N109" s="78">
        <f>N108-M108</f>
        <v>-98086.87999999999</v>
      </c>
      <c r="O109" s="79"/>
      <c r="P109" s="79">
        <f>P108-O108</f>
        <v>-105391.65</v>
      </c>
      <c r="Q109" s="78"/>
      <c r="R109" s="78">
        <f>R108-Q108</f>
        <v>-97659</v>
      </c>
      <c r="S109" s="79"/>
      <c r="T109" s="79">
        <f>T108-S108</f>
        <v>-89448.84</v>
      </c>
      <c r="U109" s="46"/>
      <c r="V109" s="45">
        <f>V108-U108</f>
        <v>-80382.25999999998</v>
      </c>
      <c r="W109" s="31"/>
      <c r="X109" s="31">
        <f>X108-W108</f>
        <v>-89851.65</v>
      </c>
      <c r="Y109" s="97"/>
      <c r="Z109" s="96">
        <f>Z108-Y108</f>
        <v>-24295.760000000002</v>
      </c>
      <c r="AA109" s="31"/>
      <c r="AB109" s="31">
        <f>AB108-AA108</f>
        <v>-23417.5</v>
      </c>
      <c r="AC109" s="31"/>
      <c r="AD109" s="78"/>
      <c r="AE109" s="78">
        <f>AE108-AD108</f>
        <v>-73727.150000000009</v>
      </c>
      <c r="AF109" s="79"/>
      <c r="AG109" s="79">
        <f>AG108-AF108</f>
        <v>-95000</v>
      </c>
      <c r="AH109" s="79"/>
      <c r="AI109" s="80"/>
      <c r="AJ109" s="80">
        <f>AJ108-AI108</f>
        <v>-89374.660000000018</v>
      </c>
      <c r="AK109" s="80"/>
      <c r="AL109" s="28"/>
      <c r="AM109" s="9">
        <f>AM108-AL108</f>
        <v>-67311.64</v>
      </c>
      <c r="AN109" s="21"/>
      <c r="AO109" s="8"/>
      <c r="AP109" s="61"/>
      <c r="AQ109" s="54"/>
    </row>
    <row r="110" spans="1:43" x14ac:dyDescent="0.25">
      <c r="C110" s="2" t="s">
        <v>159</v>
      </c>
      <c r="D110" s="145" t="s">
        <v>126</v>
      </c>
      <c r="E110" s="81"/>
      <c r="F110" s="81"/>
      <c r="G110" s="82">
        <v>93192.164999999994</v>
      </c>
      <c r="H110" s="82"/>
      <c r="I110" s="81">
        <v>91440.54</v>
      </c>
      <c r="J110" s="81"/>
      <c r="K110" s="82">
        <f>M110*1.02</f>
        <v>91530.556799999991</v>
      </c>
      <c r="L110" s="82"/>
      <c r="M110" s="81">
        <v>89735.84</v>
      </c>
      <c r="N110" s="81"/>
      <c r="O110" s="82">
        <f>88851.65+6275+665-1400+1500</f>
        <v>95891.65</v>
      </c>
      <c r="P110" s="82"/>
      <c r="Q110" s="81">
        <v>88647.75</v>
      </c>
      <c r="R110" s="81"/>
      <c r="S110" s="82">
        <v>77709.16</v>
      </c>
      <c r="T110" s="82"/>
      <c r="U110" s="46">
        <f>68113.68+5263.4+632.73+-1370.02+2370.1</f>
        <v>75009.889999999985</v>
      </c>
      <c r="V110" s="46"/>
      <c r="W110" s="33">
        <f>88851.65-1600-250</f>
        <v>87001.65</v>
      </c>
      <c r="X110" s="33">
        <v>0</v>
      </c>
      <c r="Y110" s="98">
        <f>17069.18+3507.14+1302.18+218.5-341.85</f>
        <v>21755.15</v>
      </c>
      <c r="Z110" s="98">
        <v>0</v>
      </c>
      <c r="AA110" s="33">
        <f>17200+2500+150</f>
        <v>19850</v>
      </c>
      <c r="AB110" s="33">
        <v>0</v>
      </c>
      <c r="AC110" s="33"/>
      <c r="AD110" s="81">
        <f>67579.44-10804.51+3033.55+825.68+3.68-1002.26</f>
        <v>59635.58</v>
      </c>
      <c r="AE110" s="81">
        <v>0</v>
      </c>
      <c r="AF110" s="82">
        <f>69000+3500+745+0</f>
        <v>73245</v>
      </c>
      <c r="AG110" s="82">
        <v>0</v>
      </c>
      <c r="AH110" s="82"/>
      <c r="AI110" s="34">
        <v>68965.77</v>
      </c>
      <c r="AJ110" s="34">
        <v>0</v>
      </c>
      <c r="AK110" s="34">
        <v>68965.77</v>
      </c>
      <c r="AL110" s="59">
        <v>48255.88</v>
      </c>
      <c r="AM110" s="59">
        <v>0</v>
      </c>
      <c r="AN110" s="60">
        <f>AL110-AM110</f>
        <v>48255.88</v>
      </c>
      <c r="AO110" s="60" t="e">
        <f>#REF!-#REF!</f>
        <v>#REF!</v>
      </c>
      <c r="AP110" s="143" t="s">
        <v>180</v>
      </c>
    </row>
    <row r="111" spans="1:43" x14ac:dyDescent="0.25">
      <c r="C111" s="2" t="s">
        <v>220</v>
      </c>
      <c r="D111" s="145"/>
      <c r="E111" s="81"/>
      <c r="F111" s="81"/>
      <c r="G111" s="82"/>
      <c r="H111" s="82"/>
      <c r="I111" s="81">
        <v>5100</v>
      </c>
      <c r="J111" s="81"/>
      <c r="K111" s="82">
        <v>0</v>
      </c>
      <c r="L111" s="82"/>
      <c r="M111" s="81"/>
      <c r="N111" s="81"/>
      <c r="O111" s="82">
        <v>0</v>
      </c>
      <c r="P111" s="82"/>
      <c r="Q111" s="81">
        <v>0</v>
      </c>
      <c r="R111" s="81"/>
      <c r="S111" s="82">
        <v>5263.4</v>
      </c>
      <c r="T111" s="82"/>
      <c r="U111" s="46"/>
      <c r="V111" s="46"/>
      <c r="W111" s="33"/>
      <c r="X111" s="33"/>
      <c r="Y111" s="98"/>
      <c r="Z111" s="98"/>
      <c r="AA111" s="33"/>
      <c r="AB111" s="33"/>
      <c r="AC111" s="33"/>
      <c r="AD111" s="81"/>
      <c r="AE111" s="81"/>
      <c r="AF111" s="82"/>
      <c r="AG111" s="82"/>
      <c r="AH111" s="82"/>
      <c r="AI111" s="34"/>
      <c r="AJ111" s="34"/>
      <c r="AK111" s="34"/>
      <c r="AL111" s="59"/>
      <c r="AM111" s="59"/>
      <c r="AN111" s="60"/>
      <c r="AO111" s="60"/>
      <c r="AP111" s="59"/>
    </row>
    <row r="112" spans="1:43" x14ac:dyDescent="0.25">
      <c r="C112" t="s">
        <v>137</v>
      </c>
      <c r="D112" s="145" t="s">
        <v>47</v>
      </c>
      <c r="E112" s="81"/>
      <c r="F112" s="81"/>
      <c r="G112" s="82">
        <v>10000</v>
      </c>
      <c r="H112" s="82"/>
      <c r="I112" s="81">
        <v>8312.8799999999992</v>
      </c>
      <c r="J112" s="81"/>
      <c r="K112" s="82">
        <v>4200</v>
      </c>
      <c r="L112" s="82"/>
      <c r="M112" s="81">
        <v>4145.18</v>
      </c>
      <c r="N112" s="81"/>
      <c r="O112" s="82">
        <v>2600</v>
      </c>
      <c r="P112" s="82"/>
      <c r="Q112" s="81">
        <v>2218.15</v>
      </c>
      <c r="R112" s="81"/>
      <c r="S112" s="82">
        <v>611.38</v>
      </c>
      <c r="T112" s="82"/>
      <c r="U112" s="46">
        <f>587.87+2632</f>
        <v>3219.87</v>
      </c>
      <c r="V112" s="46"/>
      <c r="W112" s="33">
        <v>0</v>
      </c>
      <c r="X112" s="33">
        <v>0</v>
      </c>
      <c r="Y112" s="98">
        <v>138.6</v>
      </c>
      <c r="Z112" s="98">
        <v>0</v>
      </c>
      <c r="AA112" s="33">
        <v>55</v>
      </c>
      <c r="AB112" s="33">
        <v>0</v>
      </c>
      <c r="AC112" s="33"/>
      <c r="AD112" s="81">
        <f>14969.95-3585.21</f>
        <v>11384.740000000002</v>
      </c>
      <c r="AE112" s="81">
        <v>0</v>
      </c>
      <c r="AF112" s="82">
        <v>16500</v>
      </c>
      <c r="AG112" s="82">
        <v>0</v>
      </c>
      <c r="AH112" s="82"/>
      <c r="AI112" s="34">
        <v>16258.83</v>
      </c>
      <c r="AJ112" s="34">
        <v>51.85</v>
      </c>
      <c r="AK112" s="34">
        <v>16206.98</v>
      </c>
      <c r="AL112" s="59">
        <v>13517.94</v>
      </c>
      <c r="AM112" s="59">
        <v>0</v>
      </c>
      <c r="AN112" s="60">
        <f t="shared" ref="AN112:AN115" si="45">AL112-AM112</f>
        <v>13517.94</v>
      </c>
      <c r="AO112" s="60" t="e">
        <f>#REF!-#REF!</f>
        <v>#REF!</v>
      </c>
      <c r="AP112" s="25"/>
    </row>
    <row r="113" spans="1:42" x14ac:dyDescent="0.25">
      <c r="C113" t="s">
        <v>175</v>
      </c>
      <c r="D113" s="145" t="s">
        <v>20</v>
      </c>
      <c r="E113" s="81"/>
      <c r="F113" s="81"/>
      <c r="G113" s="82">
        <v>3500</v>
      </c>
      <c r="H113" s="82"/>
      <c r="I113" s="81">
        <v>2219.66</v>
      </c>
      <c r="J113" s="81"/>
      <c r="K113" s="82">
        <v>2500</v>
      </c>
      <c r="L113" s="82"/>
      <c r="M113" s="81">
        <v>2073.09</v>
      </c>
      <c r="N113" s="81"/>
      <c r="O113" s="82">
        <v>5000</v>
      </c>
      <c r="P113" s="82"/>
      <c r="Q113" s="81">
        <v>5019.24</v>
      </c>
      <c r="R113" s="81"/>
      <c r="S113" s="82">
        <f>1500+2464.9</f>
        <v>3964.9</v>
      </c>
      <c r="T113" s="82"/>
      <c r="U113" s="46">
        <f>80382.26-80034.43</f>
        <v>347.83000000000175</v>
      </c>
      <c r="V113" s="46"/>
      <c r="W113" s="33">
        <v>1000</v>
      </c>
      <c r="X113" s="33">
        <v>0</v>
      </c>
      <c r="Y113" s="98">
        <v>1960.86</v>
      </c>
      <c r="Z113" s="98">
        <v>0</v>
      </c>
      <c r="AA113" s="33">
        <v>3000</v>
      </c>
      <c r="AB113" s="33">
        <v>0</v>
      </c>
      <c r="AC113" s="33"/>
      <c r="AD113" s="81">
        <v>2165</v>
      </c>
      <c r="AE113" s="81">
        <v>758.34</v>
      </c>
      <c r="AF113" s="82">
        <v>3000</v>
      </c>
      <c r="AG113" s="82">
        <v>0</v>
      </c>
      <c r="AH113" s="82"/>
      <c r="AI113" s="34">
        <v>4866.24</v>
      </c>
      <c r="AJ113" s="34">
        <v>2594.33</v>
      </c>
      <c r="AK113" s="34">
        <v>2271.91</v>
      </c>
      <c r="AL113" s="59">
        <v>2927.82</v>
      </c>
      <c r="AM113" s="59">
        <v>0</v>
      </c>
      <c r="AN113" s="60">
        <f t="shared" si="45"/>
        <v>2927.82</v>
      </c>
      <c r="AO113" s="60" t="e">
        <f>#REF!-#REF!</f>
        <v>#REF!</v>
      </c>
      <c r="AP113" s="25" t="s">
        <v>183</v>
      </c>
    </row>
    <row r="114" spans="1:42" x14ac:dyDescent="0.25">
      <c r="C114" t="s">
        <v>179</v>
      </c>
      <c r="D114" s="145" t="s">
        <v>13</v>
      </c>
      <c r="E114" s="81"/>
      <c r="F114" s="81"/>
      <c r="G114" s="82">
        <v>1977.25</v>
      </c>
      <c r="H114" s="82"/>
      <c r="I114" s="81">
        <v>1658.97</v>
      </c>
      <c r="J114" s="81"/>
      <c r="K114" s="82">
        <v>2000</v>
      </c>
      <c r="L114" s="82"/>
      <c r="M114" s="81">
        <v>1882.77</v>
      </c>
      <c r="N114" s="81"/>
      <c r="O114" s="82">
        <v>1650</v>
      </c>
      <c r="P114" s="82"/>
      <c r="Q114" s="81">
        <v>1523.86</v>
      </c>
      <c r="R114" s="81"/>
      <c r="S114" s="82">
        <v>1650</v>
      </c>
      <c r="T114" s="82"/>
      <c r="U114" s="46">
        <v>1637.67</v>
      </c>
      <c r="V114" s="46"/>
      <c r="W114" s="33">
        <v>1600</v>
      </c>
      <c r="X114" s="33">
        <v>0</v>
      </c>
      <c r="Y114" s="98">
        <v>441.15</v>
      </c>
      <c r="Z114" s="98">
        <v>0</v>
      </c>
      <c r="AA114" s="33">
        <v>450</v>
      </c>
      <c r="AB114" s="33">
        <v>0</v>
      </c>
      <c r="AC114" s="33"/>
      <c r="AD114" s="81">
        <v>1505.09</v>
      </c>
      <c r="AE114" s="81">
        <v>204.92</v>
      </c>
      <c r="AF114" s="82">
        <v>2300</v>
      </c>
      <c r="AG114" s="82">
        <v>0</v>
      </c>
      <c r="AH114" s="82"/>
      <c r="AI114" s="34">
        <v>2024</v>
      </c>
      <c r="AJ114" s="34">
        <v>344</v>
      </c>
      <c r="AK114" s="34">
        <v>1680</v>
      </c>
      <c r="AL114" s="10">
        <v>2360</v>
      </c>
      <c r="AM114" s="10">
        <v>0</v>
      </c>
      <c r="AN114" s="18">
        <f t="shared" si="45"/>
        <v>2360</v>
      </c>
      <c r="AO114" s="18" t="e">
        <f>#REF!-#REF!</f>
        <v>#REF!</v>
      </c>
    </row>
    <row r="115" spans="1:42" x14ac:dyDescent="0.25">
      <c r="C115" t="s">
        <v>57</v>
      </c>
      <c r="D115" s="145" t="s">
        <v>136</v>
      </c>
      <c r="E115" s="81"/>
      <c r="F115" s="81"/>
      <c r="G115" s="82">
        <v>250</v>
      </c>
      <c r="H115" s="82"/>
      <c r="I115" s="81"/>
      <c r="J115" s="81"/>
      <c r="K115" s="82">
        <v>250</v>
      </c>
      <c r="L115" s="82"/>
      <c r="M115" s="81">
        <v>250</v>
      </c>
      <c r="N115" s="81"/>
      <c r="O115" s="82">
        <v>250</v>
      </c>
      <c r="P115" s="82"/>
      <c r="Q115" s="81">
        <v>250</v>
      </c>
      <c r="R115" s="81"/>
      <c r="S115" s="82">
        <v>250</v>
      </c>
      <c r="T115" s="82"/>
      <c r="U115" s="46">
        <v>167</v>
      </c>
      <c r="V115" s="46"/>
      <c r="W115" s="33">
        <v>250</v>
      </c>
      <c r="X115" s="33">
        <v>0</v>
      </c>
      <c r="Y115" s="98">
        <v>0</v>
      </c>
      <c r="Z115" s="98">
        <v>0</v>
      </c>
      <c r="AA115" s="33">
        <f>250/4</f>
        <v>62.5</v>
      </c>
      <c r="AB115" s="33">
        <v>0</v>
      </c>
      <c r="AC115" s="33"/>
      <c r="AD115" s="81">
        <v>0</v>
      </c>
      <c r="AE115" s="81">
        <v>0</v>
      </c>
      <c r="AF115" s="82">
        <v>250</v>
      </c>
      <c r="AG115" s="82">
        <v>0</v>
      </c>
      <c r="AH115" s="82"/>
      <c r="AI115" s="34">
        <v>250</v>
      </c>
      <c r="AJ115" s="34">
        <v>0</v>
      </c>
      <c r="AK115" s="34">
        <v>250</v>
      </c>
      <c r="AL115" s="10">
        <v>250</v>
      </c>
      <c r="AM115" s="10">
        <v>0</v>
      </c>
      <c r="AN115" s="18">
        <f t="shared" si="45"/>
        <v>250</v>
      </c>
      <c r="AO115" s="18" t="e">
        <f>#REF!-#REF!</f>
        <v>#REF!</v>
      </c>
    </row>
    <row r="116" spans="1:42" x14ac:dyDescent="0.25">
      <c r="C116" t="s">
        <v>742</v>
      </c>
      <c r="D116" s="145">
        <v>74900200</v>
      </c>
      <c r="E116" s="81"/>
      <c r="F116" s="81"/>
      <c r="G116" s="82"/>
      <c r="H116" s="82">
        <v>274.68</v>
      </c>
      <c r="I116" s="81"/>
      <c r="J116" s="81"/>
      <c r="K116" s="82"/>
      <c r="L116" s="82"/>
      <c r="M116" s="81"/>
      <c r="N116" s="81"/>
      <c r="O116" s="82"/>
      <c r="P116" s="82"/>
      <c r="Q116" s="81"/>
      <c r="R116" s="81"/>
      <c r="S116" s="82"/>
      <c r="T116" s="82"/>
      <c r="U116" s="46"/>
      <c r="V116" s="46"/>
      <c r="W116" s="33"/>
      <c r="X116" s="33"/>
      <c r="Y116" s="98"/>
      <c r="Z116" s="98"/>
      <c r="AA116" s="33"/>
      <c r="AB116" s="33"/>
      <c r="AC116" s="33"/>
      <c r="AD116" s="81"/>
      <c r="AE116" s="81"/>
      <c r="AF116" s="82"/>
      <c r="AG116" s="82"/>
      <c r="AH116" s="82"/>
      <c r="AI116" s="34"/>
      <c r="AJ116" s="34"/>
      <c r="AK116" s="34"/>
      <c r="AL116" s="10"/>
      <c r="AM116" s="10"/>
      <c r="AN116" s="18"/>
      <c r="AO116" s="18"/>
    </row>
    <row r="117" spans="1:42" x14ac:dyDescent="0.25">
      <c r="C117" t="s">
        <v>743</v>
      </c>
      <c r="D117" s="145">
        <v>74900400</v>
      </c>
      <c r="E117" s="81"/>
      <c r="F117" s="81"/>
      <c r="G117" s="82"/>
      <c r="H117" s="82">
        <v>1699.92</v>
      </c>
      <c r="I117" s="81"/>
      <c r="J117" s="81"/>
      <c r="K117" s="82"/>
      <c r="L117" s="82"/>
      <c r="M117" s="81"/>
      <c r="N117" s="81"/>
      <c r="O117" s="82"/>
      <c r="P117" s="82"/>
      <c r="Q117" s="81"/>
      <c r="R117" s="81"/>
      <c r="S117" s="82"/>
      <c r="T117" s="82"/>
      <c r="U117" s="46"/>
      <c r="V117" s="46"/>
      <c r="W117" s="33"/>
      <c r="X117" s="33"/>
      <c r="Y117" s="98"/>
      <c r="Z117" s="98"/>
      <c r="AA117" s="33"/>
      <c r="AB117" s="33"/>
      <c r="AC117" s="33"/>
      <c r="AD117" s="81"/>
      <c r="AE117" s="81"/>
      <c r="AF117" s="82"/>
      <c r="AG117" s="82"/>
      <c r="AH117" s="82"/>
      <c r="AI117" s="34"/>
      <c r="AJ117" s="34"/>
      <c r="AK117" s="34"/>
      <c r="AL117" s="10"/>
      <c r="AM117" s="10"/>
      <c r="AN117" s="18"/>
      <c r="AO117" s="18"/>
    </row>
    <row r="118" spans="1:42" x14ac:dyDescent="0.25">
      <c r="C118" t="s">
        <v>744</v>
      </c>
      <c r="D118" s="145">
        <v>74901400</v>
      </c>
      <c r="E118" s="81"/>
      <c r="F118" s="81"/>
      <c r="G118" s="82"/>
      <c r="H118" s="82">
        <v>1681.68</v>
      </c>
      <c r="I118" s="81"/>
      <c r="J118" s="81"/>
      <c r="K118" s="82"/>
      <c r="L118" s="82"/>
      <c r="M118" s="81"/>
      <c r="N118" s="81"/>
      <c r="O118" s="82"/>
      <c r="P118" s="82"/>
      <c r="Q118" s="81"/>
      <c r="R118" s="81"/>
      <c r="S118" s="82"/>
      <c r="T118" s="82"/>
      <c r="U118" s="46"/>
      <c r="V118" s="46"/>
      <c r="W118" s="33"/>
      <c r="X118" s="33"/>
      <c r="Y118" s="98"/>
      <c r="Z118" s="98"/>
      <c r="AA118" s="33"/>
      <c r="AB118" s="33"/>
      <c r="AC118" s="33"/>
      <c r="AD118" s="81"/>
      <c r="AE118" s="81"/>
      <c r="AF118" s="82"/>
      <c r="AG118" s="82"/>
      <c r="AH118" s="82"/>
      <c r="AI118" s="34"/>
      <c r="AJ118" s="34"/>
      <c r="AK118" s="34"/>
      <c r="AL118" s="10"/>
      <c r="AM118" s="10"/>
      <c r="AN118" s="18"/>
      <c r="AO118" s="18"/>
    </row>
    <row r="119" spans="1:42" x14ac:dyDescent="0.25">
      <c r="D119" s="145"/>
      <c r="E119" s="81"/>
      <c r="F119" s="81"/>
      <c r="G119" s="82"/>
      <c r="H119" s="82"/>
      <c r="I119" s="81"/>
      <c r="J119" s="81"/>
      <c r="K119" s="82"/>
      <c r="L119" s="82"/>
      <c r="M119" s="81"/>
      <c r="N119" s="81"/>
      <c r="O119" s="82"/>
      <c r="P119" s="82"/>
      <c r="Q119" s="81"/>
      <c r="R119" s="81"/>
      <c r="S119" s="82"/>
      <c r="T119" s="82"/>
      <c r="U119" s="46"/>
      <c r="V119" s="46"/>
      <c r="W119" s="33"/>
      <c r="X119" s="33"/>
      <c r="Y119" s="99"/>
      <c r="Z119" s="99"/>
      <c r="AA119" s="33"/>
      <c r="AB119" s="33"/>
      <c r="AC119" s="33"/>
      <c r="AD119" s="81"/>
      <c r="AE119" s="81"/>
      <c r="AF119" s="82"/>
      <c r="AG119" s="82"/>
      <c r="AH119" s="82"/>
      <c r="AI119" s="34"/>
      <c r="AJ119" s="34"/>
      <c r="AK119" s="34"/>
      <c r="AL119" s="10"/>
      <c r="AM119" s="10"/>
      <c r="AN119" s="18"/>
      <c r="AO119" s="18"/>
    </row>
    <row r="120" spans="1:42" ht="12.75" hidden="1" customHeight="1" x14ac:dyDescent="0.25">
      <c r="A120" s="3" t="s">
        <v>92</v>
      </c>
      <c r="B120" s="14" t="s">
        <v>93</v>
      </c>
      <c r="C120" s="14"/>
      <c r="D120" s="152"/>
      <c r="E120" s="78"/>
      <c r="F120" s="78"/>
      <c r="G120" s="79"/>
      <c r="H120" s="79"/>
      <c r="I120" s="78"/>
      <c r="J120" s="78"/>
      <c r="K120" s="79"/>
      <c r="L120" s="79"/>
      <c r="M120" s="78"/>
      <c r="N120" s="78"/>
      <c r="O120" s="79"/>
      <c r="P120" s="79"/>
      <c r="Q120" s="78"/>
      <c r="R120" s="78"/>
      <c r="S120" s="79"/>
      <c r="T120" s="79"/>
      <c r="U120" s="46"/>
      <c r="V120" s="45"/>
      <c r="W120" s="31">
        <v>0</v>
      </c>
      <c r="X120" s="31">
        <v>0</v>
      </c>
      <c r="Y120" s="45">
        <v>0</v>
      </c>
      <c r="Z120" s="45">
        <v>0</v>
      </c>
      <c r="AA120" s="31">
        <v>0</v>
      </c>
      <c r="AB120" s="31">
        <v>0</v>
      </c>
      <c r="AC120" s="31"/>
      <c r="AD120" s="78">
        <f>SUM(AD122:AD131)</f>
        <v>0</v>
      </c>
      <c r="AE120" s="78">
        <f>SUM(AE122:AE131)</f>
        <v>0</v>
      </c>
      <c r="AF120" s="79">
        <v>0</v>
      </c>
      <c r="AG120" s="79">
        <v>0</v>
      </c>
      <c r="AH120" s="79"/>
      <c r="AI120" s="80">
        <f t="shared" ref="AI120:AO120" si="46">SUM(AI122:AI131)</f>
        <v>34367.109999999993</v>
      </c>
      <c r="AJ120" s="80">
        <f t="shared" si="46"/>
        <v>12252.9</v>
      </c>
      <c r="AK120" s="80">
        <f t="shared" si="46"/>
        <v>22114.21</v>
      </c>
      <c r="AL120" s="26">
        <f>SUM(AL122:AL131)</f>
        <v>13552</v>
      </c>
      <c r="AM120" s="7">
        <f>SUM(AM122:AM131)</f>
        <v>7945.25</v>
      </c>
      <c r="AN120" s="19">
        <f>SUM(AN122:AN131)</f>
        <v>5606.75</v>
      </c>
      <c r="AO120" s="6" t="e">
        <f t="shared" si="46"/>
        <v>#REF!</v>
      </c>
      <c r="AP120" s="55"/>
    </row>
    <row r="121" spans="1:42" ht="12.75" hidden="1" customHeight="1" x14ac:dyDescent="0.25">
      <c r="A121" s="4"/>
      <c r="B121" s="4"/>
      <c r="C121" s="4"/>
      <c r="D121" s="153"/>
      <c r="E121" s="78"/>
      <c r="F121" s="78"/>
      <c r="G121" s="79"/>
      <c r="H121" s="79"/>
      <c r="I121" s="78"/>
      <c r="J121" s="78"/>
      <c r="K121" s="79"/>
      <c r="L121" s="79"/>
      <c r="M121" s="78"/>
      <c r="N121" s="78"/>
      <c r="O121" s="79"/>
      <c r="P121" s="79"/>
      <c r="Q121" s="78"/>
      <c r="R121" s="78"/>
      <c r="S121" s="79"/>
      <c r="T121" s="79"/>
      <c r="U121" s="46"/>
      <c r="V121" s="45"/>
      <c r="W121" s="31"/>
      <c r="X121" s="31">
        <f>X120-W120</f>
        <v>0</v>
      </c>
      <c r="Y121" s="45"/>
      <c r="Z121" s="45">
        <v>0</v>
      </c>
      <c r="AA121" s="31"/>
      <c r="AB121" s="31">
        <f>AB120-AA120</f>
        <v>0</v>
      </c>
      <c r="AC121" s="31"/>
      <c r="AD121" s="78"/>
      <c r="AE121" s="78">
        <f>AE120-AD120</f>
        <v>0</v>
      </c>
      <c r="AF121" s="79"/>
      <c r="AG121" s="79">
        <f>AG120-AF120</f>
        <v>0</v>
      </c>
      <c r="AH121" s="79"/>
      <c r="AI121" s="80"/>
      <c r="AJ121" s="80">
        <f>AJ120-AI120</f>
        <v>-22114.209999999992</v>
      </c>
      <c r="AK121" s="80"/>
      <c r="AL121" s="28"/>
      <c r="AM121" s="9">
        <f>AM120-AL120</f>
        <v>-5606.75</v>
      </c>
      <c r="AN121" s="22"/>
      <c r="AO121" s="8"/>
      <c r="AP121" s="55"/>
    </row>
    <row r="122" spans="1:42" ht="12.75" hidden="1" customHeight="1" x14ac:dyDescent="0.25">
      <c r="C122" t="s">
        <v>87</v>
      </c>
      <c r="D122" s="145" t="s">
        <v>11</v>
      </c>
      <c r="E122" s="81"/>
      <c r="F122" s="81"/>
      <c r="G122" s="82"/>
      <c r="H122" s="82"/>
      <c r="I122" s="81"/>
      <c r="J122" s="81"/>
      <c r="K122" s="82"/>
      <c r="L122" s="82"/>
      <c r="M122" s="81"/>
      <c r="N122" s="81"/>
      <c r="O122" s="82"/>
      <c r="P122" s="82"/>
      <c r="Q122" s="81"/>
      <c r="R122" s="81"/>
      <c r="S122" s="82"/>
      <c r="T122" s="82"/>
      <c r="U122" s="46"/>
      <c r="V122" s="46"/>
      <c r="W122" s="33">
        <v>0</v>
      </c>
      <c r="X122" s="33">
        <v>0</v>
      </c>
      <c r="Y122" s="46">
        <v>0</v>
      </c>
      <c r="Z122" s="46">
        <v>0</v>
      </c>
      <c r="AA122" s="33">
        <v>0</v>
      </c>
      <c r="AB122" s="33">
        <v>0</v>
      </c>
      <c r="AC122" s="33"/>
      <c r="AD122" s="81">
        <v>0</v>
      </c>
      <c r="AE122" s="81">
        <v>0</v>
      </c>
      <c r="AF122" s="82">
        <v>0</v>
      </c>
      <c r="AG122" s="82">
        <v>0</v>
      </c>
      <c r="AH122" s="82"/>
      <c r="AI122" s="34">
        <v>1372.57</v>
      </c>
      <c r="AJ122" s="34">
        <v>1372.57</v>
      </c>
      <c r="AK122" s="34">
        <v>0</v>
      </c>
      <c r="AL122" s="10">
        <v>0</v>
      </c>
      <c r="AM122" s="10">
        <v>0</v>
      </c>
      <c r="AN122" s="18">
        <f t="shared" ref="AN122:AN131" si="47">AL122-AM122</f>
        <v>0</v>
      </c>
      <c r="AO122" s="18" t="e">
        <f>#REF!-#REF!</f>
        <v>#REF!</v>
      </c>
    </row>
    <row r="123" spans="1:42" ht="12.75" hidden="1" customHeight="1" x14ac:dyDescent="0.25">
      <c r="C123" t="s">
        <v>29</v>
      </c>
      <c r="D123" s="145" t="s">
        <v>75</v>
      </c>
      <c r="E123" s="81"/>
      <c r="F123" s="81"/>
      <c r="G123" s="82"/>
      <c r="H123" s="82"/>
      <c r="I123" s="81"/>
      <c r="J123" s="81"/>
      <c r="K123" s="82"/>
      <c r="L123" s="82"/>
      <c r="M123" s="81"/>
      <c r="N123" s="81"/>
      <c r="O123" s="82"/>
      <c r="P123" s="82"/>
      <c r="Q123" s="81"/>
      <c r="R123" s="81"/>
      <c r="S123" s="82"/>
      <c r="T123" s="82"/>
      <c r="U123" s="46"/>
      <c r="V123" s="46"/>
      <c r="W123" s="33">
        <v>0</v>
      </c>
      <c r="X123" s="33">
        <v>0</v>
      </c>
      <c r="Y123" s="46">
        <v>0</v>
      </c>
      <c r="Z123" s="46">
        <v>0</v>
      </c>
      <c r="AA123" s="33">
        <v>0</v>
      </c>
      <c r="AB123" s="33">
        <v>0</v>
      </c>
      <c r="AC123" s="33"/>
      <c r="AD123" s="81">
        <v>0</v>
      </c>
      <c r="AE123" s="81">
        <v>0</v>
      </c>
      <c r="AF123" s="82">
        <v>0</v>
      </c>
      <c r="AG123" s="82">
        <v>0</v>
      </c>
      <c r="AH123" s="82"/>
      <c r="AI123" s="34">
        <v>44.51</v>
      </c>
      <c r="AJ123" s="34">
        <v>0</v>
      </c>
      <c r="AK123" s="34">
        <v>44.51</v>
      </c>
      <c r="AL123" s="10">
        <v>0</v>
      </c>
      <c r="AM123" s="10">
        <v>0</v>
      </c>
      <c r="AN123" s="18">
        <f t="shared" si="47"/>
        <v>0</v>
      </c>
      <c r="AO123" s="18" t="e">
        <f>#REF!-#REF!</f>
        <v>#REF!</v>
      </c>
    </row>
    <row r="124" spans="1:42" ht="12.75" hidden="1" customHeight="1" x14ac:dyDescent="0.25">
      <c r="C124" t="s">
        <v>59</v>
      </c>
      <c r="D124" s="145" t="s">
        <v>65</v>
      </c>
      <c r="E124" s="81"/>
      <c r="F124" s="81"/>
      <c r="G124" s="82"/>
      <c r="H124" s="82"/>
      <c r="I124" s="81"/>
      <c r="J124" s="81"/>
      <c r="K124" s="82"/>
      <c r="L124" s="82"/>
      <c r="M124" s="81"/>
      <c r="N124" s="81"/>
      <c r="O124" s="82"/>
      <c r="P124" s="82"/>
      <c r="Q124" s="81"/>
      <c r="R124" s="81"/>
      <c r="S124" s="82"/>
      <c r="T124" s="82"/>
      <c r="U124" s="46"/>
      <c r="V124" s="46"/>
      <c r="W124" s="33">
        <v>0</v>
      </c>
      <c r="X124" s="33">
        <v>0</v>
      </c>
      <c r="Y124" s="46">
        <v>0</v>
      </c>
      <c r="Z124" s="46">
        <v>0</v>
      </c>
      <c r="AA124" s="33">
        <v>0</v>
      </c>
      <c r="AB124" s="33">
        <v>0</v>
      </c>
      <c r="AC124" s="33"/>
      <c r="AD124" s="81">
        <v>0</v>
      </c>
      <c r="AE124" s="81">
        <v>0</v>
      </c>
      <c r="AF124" s="82">
        <v>0</v>
      </c>
      <c r="AG124" s="82">
        <v>0</v>
      </c>
      <c r="AH124" s="82"/>
      <c r="AI124" s="34">
        <v>242</v>
      </c>
      <c r="AJ124" s="34">
        <v>0</v>
      </c>
      <c r="AK124" s="34">
        <v>242</v>
      </c>
      <c r="AL124" s="10">
        <v>0</v>
      </c>
      <c r="AM124" s="10">
        <v>0</v>
      </c>
      <c r="AN124" s="18">
        <f t="shared" si="47"/>
        <v>0</v>
      </c>
      <c r="AO124" s="18" t="e">
        <f>#REF!-#REF!</f>
        <v>#REF!</v>
      </c>
    </row>
    <row r="125" spans="1:42" ht="12.75" hidden="1" customHeight="1" x14ac:dyDescent="0.25">
      <c r="C125" t="s">
        <v>131</v>
      </c>
      <c r="D125" s="145" t="s">
        <v>62</v>
      </c>
      <c r="E125" s="81"/>
      <c r="F125" s="81"/>
      <c r="G125" s="82"/>
      <c r="H125" s="82"/>
      <c r="I125" s="81"/>
      <c r="J125" s="81"/>
      <c r="K125" s="82"/>
      <c r="L125" s="82"/>
      <c r="M125" s="81"/>
      <c r="N125" s="81"/>
      <c r="O125" s="82"/>
      <c r="P125" s="82"/>
      <c r="Q125" s="81"/>
      <c r="R125" s="81"/>
      <c r="S125" s="82"/>
      <c r="T125" s="82"/>
      <c r="U125" s="46"/>
      <c r="V125" s="46"/>
      <c r="W125" s="33">
        <v>0</v>
      </c>
      <c r="X125" s="33">
        <v>0</v>
      </c>
      <c r="Y125" s="46">
        <v>0</v>
      </c>
      <c r="Z125" s="46">
        <v>0</v>
      </c>
      <c r="AA125" s="33">
        <v>0</v>
      </c>
      <c r="AB125" s="33">
        <v>0</v>
      </c>
      <c r="AC125" s="33"/>
      <c r="AD125" s="81">
        <v>0</v>
      </c>
      <c r="AE125" s="81">
        <v>0</v>
      </c>
      <c r="AF125" s="82">
        <v>0</v>
      </c>
      <c r="AG125" s="82">
        <v>0</v>
      </c>
      <c r="AH125" s="82"/>
      <c r="AI125" s="34">
        <v>4748.8</v>
      </c>
      <c r="AJ125" s="34">
        <v>0</v>
      </c>
      <c r="AK125" s="34">
        <v>4748.8</v>
      </c>
      <c r="AL125" s="10">
        <v>0</v>
      </c>
      <c r="AM125" s="10">
        <v>0</v>
      </c>
      <c r="AN125" s="18">
        <f t="shared" si="47"/>
        <v>0</v>
      </c>
      <c r="AO125" s="18" t="e">
        <f>#REF!-#REF!</f>
        <v>#REF!</v>
      </c>
    </row>
    <row r="126" spans="1:42" ht="12.75" hidden="1" customHeight="1" x14ac:dyDescent="0.25">
      <c r="C126" t="s">
        <v>124</v>
      </c>
      <c r="D126" s="145" t="s">
        <v>113</v>
      </c>
      <c r="E126" s="81"/>
      <c r="F126" s="81"/>
      <c r="G126" s="82"/>
      <c r="H126" s="82"/>
      <c r="I126" s="81"/>
      <c r="J126" s="81"/>
      <c r="K126" s="82"/>
      <c r="L126" s="82"/>
      <c r="M126" s="81"/>
      <c r="N126" s="81"/>
      <c r="O126" s="82"/>
      <c r="P126" s="82"/>
      <c r="Q126" s="81"/>
      <c r="R126" s="81"/>
      <c r="S126" s="82"/>
      <c r="T126" s="82"/>
      <c r="U126" s="46"/>
      <c r="V126" s="46"/>
      <c r="W126" s="33">
        <v>0</v>
      </c>
      <c r="X126" s="33">
        <v>0</v>
      </c>
      <c r="Y126" s="46">
        <v>0</v>
      </c>
      <c r="Z126" s="46">
        <v>0</v>
      </c>
      <c r="AA126" s="33">
        <v>0</v>
      </c>
      <c r="AB126" s="33">
        <v>0</v>
      </c>
      <c r="AC126" s="33"/>
      <c r="AD126" s="81">
        <v>0</v>
      </c>
      <c r="AE126" s="81">
        <v>0</v>
      </c>
      <c r="AF126" s="82">
        <v>0</v>
      </c>
      <c r="AG126" s="82">
        <v>0</v>
      </c>
      <c r="AH126" s="82"/>
      <c r="AI126" s="34">
        <v>27168</v>
      </c>
      <c r="AJ126" s="34">
        <v>0</v>
      </c>
      <c r="AK126" s="34">
        <v>27168</v>
      </c>
      <c r="AL126" s="10">
        <v>13552</v>
      </c>
      <c r="AM126" s="10">
        <v>0</v>
      </c>
      <c r="AN126" s="18">
        <f t="shared" si="47"/>
        <v>13552</v>
      </c>
      <c r="AO126" s="18" t="e">
        <f>#REF!-#REF!</f>
        <v>#REF!</v>
      </c>
    </row>
    <row r="127" spans="1:42" ht="12.75" hidden="1" customHeight="1" x14ac:dyDescent="0.25">
      <c r="C127" t="s">
        <v>23</v>
      </c>
      <c r="D127" s="145" t="s">
        <v>61</v>
      </c>
      <c r="E127" s="81"/>
      <c r="F127" s="81"/>
      <c r="G127" s="82"/>
      <c r="H127" s="82"/>
      <c r="I127" s="81"/>
      <c r="J127" s="81"/>
      <c r="K127" s="82"/>
      <c r="L127" s="82"/>
      <c r="M127" s="81"/>
      <c r="N127" s="81"/>
      <c r="O127" s="82"/>
      <c r="P127" s="82"/>
      <c r="Q127" s="81"/>
      <c r="R127" s="81"/>
      <c r="S127" s="82"/>
      <c r="T127" s="82"/>
      <c r="U127" s="46"/>
      <c r="V127" s="46"/>
      <c r="W127" s="33">
        <v>0</v>
      </c>
      <c r="X127" s="33">
        <v>0</v>
      </c>
      <c r="Y127" s="46">
        <v>0</v>
      </c>
      <c r="Z127" s="46">
        <v>0</v>
      </c>
      <c r="AA127" s="33">
        <v>0</v>
      </c>
      <c r="AB127" s="33">
        <v>0</v>
      </c>
      <c r="AC127" s="33"/>
      <c r="AD127" s="81">
        <v>0</v>
      </c>
      <c r="AE127" s="81">
        <v>0</v>
      </c>
      <c r="AF127" s="82">
        <v>0</v>
      </c>
      <c r="AG127" s="82">
        <v>0</v>
      </c>
      <c r="AH127" s="82"/>
      <c r="AI127" s="34">
        <v>123.13</v>
      </c>
      <c r="AJ127" s="34">
        <v>0</v>
      </c>
      <c r="AK127" s="34">
        <v>123.13</v>
      </c>
      <c r="AL127" s="10">
        <v>0</v>
      </c>
      <c r="AM127" s="10">
        <v>0</v>
      </c>
      <c r="AN127" s="18">
        <f t="shared" si="47"/>
        <v>0</v>
      </c>
      <c r="AO127" s="18" t="e">
        <f>#REF!-#REF!</f>
        <v>#REF!</v>
      </c>
    </row>
    <row r="128" spans="1:42" ht="12.75" hidden="1" customHeight="1" x14ac:dyDescent="0.25">
      <c r="C128" t="s">
        <v>118</v>
      </c>
      <c r="D128" s="145" t="s">
        <v>39</v>
      </c>
      <c r="E128" s="81"/>
      <c r="F128" s="81"/>
      <c r="G128" s="82"/>
      <c r="H128" s="82"/>
      <c r="I128" s="81"/>
      <c r="J128" s="81"/>
      <c r="K128" s="82"/>
      <c r="L128" s="82"/>
      <c r="M128" s="81"/>
      <c r="N128" s="81"/>
      <c r="O128" s="82"/>
      <c r="P128" s="82"/>
      <c r="Q128" s="81"/>
      <c r="R128" s="81"/>
      <c r="S128" s="82"/>
      <c r="T128" s="82"/>
      <c r="U128" s="46"/>
      <c r="V128" s="46"/>
      <c r="W128" s="33">
        <v>0</v>
      </c>
      <c r="X128" s="33">
        <v>0</v>
      </c>
      <c r="Y128" s="46">
        <v>0</v>
      </c>
      <c r="Z128" s="46">
        <v>0</v>
      </c>
      <c r="AA128" s="33">
        <v>0</v>
      </c>
      <c r="AB128" s="33">
        <v>0</v>
      </c>
      <c r="AC128" s="33"/>
      <c r="AD128" s="81">
        <v>0</v>
      </c>
      <c r="AE128" s="81">
        <v>0</v>
      </c>
      <c r="AF128" s="82">
        <v>0</v>
      </c>
      <c r="AG128" s="82">
        <v>0</v>
      </c>
      <c r="AH128" s="82"/>
      <c r="AI128" s="34">
        <v>18.260000000000002</v>
      </c>
      <c r="AJ128" s="34">
        <v>0</v>
      </c>
      <c r="AK128" s="34">
        <v>18.260000000000002</v>
      </c>
      <c r="AL128" s="10">
        <v>0</v>
      </c>
      <c r="AM128" s="10">
        <v>0</v>
      </c>
      <c r="AN128" s="18">
        <f t="shared" si="47"/>
        <v>0</v>
      </c>
      <c r="AO128" s="18" t="e">
        <f>#REF!-#REF!</f>
        <v>#REF!</v>
      </c>
    </row>
    <row r="129" spans="1:43" ht="12.75" hidden="1" customHeight="1" x14ac:dyDescent="0.25">
      <c r="C129" t="s">
        <v>112</v>
      </c>
      <c r="D129" s="145" t="s">
        <v>78</v>
      </c>
      <c r="E129" s="81"/>
      <c r="F129" s="81"/>
      <c r="G129" s="82"/>
      <c r="H129" s="82"/>
      <c r="I129" s="81"/>
      <c r="J129" s="81"/>
      <c r="K129" s="82"/>
      <c r="L129" s="82"/>
      <c r="M129" s="81"/>
      <c r="N129" s="81"/>
      <c r="O129" s="82"/>
      <c r="P129" s="82"/>
      <c r="Q129" s="81"/>
      <c r="R129" s="81"/>
      <c r="S129" s="82"/>
      <c r="T129" s="82"/>
      <c r="U129" s="46"/>
      <c r="V129" s="46"/>
      <c r="W129" s="33">
        <v>0</v>
      </c>
      <c r="X129" s="33">
        <v>0</v>
      </c>
      <c r="Y129" s="46">
        <v>0</v>
      </c>
      <c r="Z129" s="46">
        <v>0</v>
      </c>
      <c r="AA129" s="33">
        <v>0</v>
      </c>
      <c r="AB129" s="33">
        <v>0</v>
      </c>
      <c r="AC129" s="33"/>
      <c r="AD129" s="81">
        <v>0</v>
      </c>
      <c r="AE129" s="81">
        <v>0</v>
      </c>
      <c r="AF129" s="82">
        <v>0</v>
      </c>
      <c r="AG129" s="82">
        <v>0</v>
      </c>
      <c r="AH129" s="82"/>
      <c r="AI129" s="34">
        <v>529.84</v>
      </c>
      <c r="AJ129" s="34">
        <v>0</v>
      </c>
      <c r="AK129" s="34">
        <v>529.84</v>
      </c>
      <c r="AL129" s="10">
        <v>0</v>
      </c>
      <c r="AM129" s="10">
        <v>0</v>
      </c>
      <c r="AN129" s="18">
        <f t="shared" si="47"/>
        <v>0</v>
      </c>
      <c r="AO129" s="18" t="e">
        <f>#REF!-#REF!</f>
        <v>#REF!</v>
      </c>
    </row>
    <row r="130" spans="1:43" ht="12.75" hidden="1" customHeight="1" x14ac:dyDescent="0.25">
      <c r="C130" t="s">
        <v>79</v>
      </c>
      <c r="D130" s="145" t="s">
        <v>4</v>
      </c>
      <c r="E130" s="81"/>
      <c r="F130" s="81"/>
      <c r="G130" s="82"/>
      <c r="H130" s="82"/>
      <c r="I130" s="81"/>
      <c r="J130" s="81"/>
      <c r="K130" s="82"/>
      <c r="L130" s="82"/>
      <c r="M130" s="81"/>
      <c r="N130" s="81"/>
      <c r="O130" s="82"/>
      <c r="P130" s="82"/>
      <c r="Q130" s="81"/>
      <c r="R130" s="81"/>
      <c r="S130" s="82"/>
      <c r="T130" s="82"/>
      <c r="U130" s="46"/>
      <c r="V130" s="46"/>
      <c r="W130" s="33">
        <v>0</v>
      </c>
      <c r="X130" s="33">
        <v>0</v>
      </c>
      <c r="Y130" s="46">
        <v>0</v>
      </c>
      <c r="Z130" s="46">
        <v>0</v>
      </c>
      <c r="AA130" s="33">
        <v>0</v>
      </c>
      <c r="AB130" s="33">
        <v>0</v>
      </c>
      <c r="AC130" s="33"/>
      <c r="AD130" s="81">
        <v>0</v>
      </c>
      <c r="AE130" s="81">
        <v>0</v>
      </c>
      <c r="AF130" s="82">
        <v>0</v>
      </c>
      <c r="AG130" s="82">
        <v>0</v>
      </c>
      <c r="AH130" s="82"/>
      <c r="AI130" s="34">
        <v>120</v>
      </c>
      <c r="AJ130" s="34">
        <v>2935.08</v>
      </c>
      <c r="AK130" s="34">
        <v>-2815.08</v>
      </c>
      <c r="AL130" s="10">
        <v>0</v>
      </c>
      <c r="AM130" s="10">
        <v>0</v>
      </c>
      <c r="AN130" s="18">
        <f t="shared" si="47"/>
        <v>0</v>
      </c>
      <c r="AO130" s="18" t="e">
        <f>#REF!-#REF!</f>
        <v>#REF!</v>
      </c>
    </row>
    <row r="131" spans="1:43" ht="12.75" hidden="1" customHeight="1" x14ac:dyDescent="0.25">
      <c r="C131" t="s">
        <v>83</v>
      </c>
      <c r="D131" s="145" t="s">
        <v>123</v>
      </c>
      <c r="E131" s="81"/>
      <c r="F131" s="81"/>
      <c r="G131" s="82"/>
      <c r="H131" s="82"/>
      <c r="I131" s="81"/>
      <c r="J131" s="81"/>
      <c r="K131" s="82"/>
      <c r="L131" s="82"/>
      <c r="M131" s="81"/>
      <c r="N131" s="81"/>
      <c r="O131" s="82"/>
      <c r="P131" s="82"/>
      <c r="Q131" s="81"/>
      <c r="R131" s="81"/>
      <c r="S131" s="82"/>
      <c r="T131" s="82"/>
      <c r="U131" s="46"/>
      <c r="V131" s="46"/>
      <c r="W131" s="33">
        <v>0</v>
      </c>
      <c r="X131" s="33">
        <v>0</v>
      </c>
      <c r="Y131" s="46">
        <v>0</v>
      </c>
      <c r="Z131" s="46">
        <v>0</v>
      </c>
      <c r="AA131" s="33">
        <v>0</v>
      </c>
      <c r="AB131" s="33">
        <v>0</v>
      </c>
      <c r="AC131" s="33"/>
      <c r="AD131" s="81">
        <v>0</v>
      </c>
      <c r="AE131" s="81">
        <v>0</v>
      </c>
      <c r="AF131" s="82">
        <v>0</v>
      </c>
      <c r="AG131" s="82">
        <v>0</v>
      </c>
      <c r="AH131" s="82"/>
      <c r="AI131" s="34">
        <v>0</v>
      </c>
      <c r="AJ131" s="34">
        <v>7945.25</v>
      </c>
      <c r="AK131" s="34">
        <v>-7945.25</v>
      </c>
      <c r="AL131" s="10">
        <v>0</v>
      </c>
      <c r="AM131" s="10">
        <v>7945.25</v>
      </c>
      <c r="AN131" s="18">
        <f t="shared" si="47"/>
        <v>-7945.25</v>
      </c>
      <c r="AO131" s="18" t="e">
        <f>#REF!-#REF!</f>
        <v>#REF!</v>
      </c>
    </row>
    <row r="132" spans="1:43" ht="12.75" hidden="1" customHeight="1" x14ac:dyDescent="0.25">
      <c r="D132" s="145"/>
      <c r="E132" s="81"/>
      <c r="F132" s="81"/>
      <c r="G132" s="82"/>
      <c r="H132" s="82"/>
      <c r="I132" s="81"/>
      <c r="J132" s="81"/>
      <c r="K132" s="82"/>
      <c r="L132" s="82"/>
      <c r="M132" s="81"/>
      <c r="N132" s="81"/>
      <c r="O132" s="82"/>
      <c r="P132" s="82"/>
      <c r="Q132" s="81"/>
      <c r="R132" s="81"/>
      <c r="S132" s="82"/>
      <c r="T132" s="82"/>
      <c r="U132" s="46"/>
      <c r="V132" s="46"/>
      <c r="W132" s="33"/>
      <c r="X132" s="33"/>
      <c r="Y132" s="46">
        <v>0</v>
      </c>
      <c r="Z132" s="46">
        <v>0</v>
      </c>
      <c r="AA132" s="33"/>
      <c r="AB132" s="33"/>
      <c r="AC132" s="33"/>
      <c r="AD132" s="81"/>
      <c r="AE132" s="81"/>
      <c r="AF132" s="82"/>
      <c r="AG132" s="82"/>
      <c r="AH132" s="82"/>
      <c r="AI132" s="34"/>
      <c r="AJ132" s="34"/>
      <c r="AK132" s="34"/>
      <c r="AL132" s="10"/>
      <c r="AM132" s="10"/>
      <c r="AN132" s="18"/>
      <c r="AO132" s="18"/>
    </row>
    <row r="133" spans="1:43" x14ac:dyDescent="0.25">
      <c r="A133" s="3" t="s">
        <v>17</v>
      </c>
      <c r="B133" s="14" t="s">
        <v>54</v>
      </c>
      <c r="C133" s="14"/>
      <c r="D133" s="152"/>
      <c r="E133" s="78">
        <f t="shared" ref="E133:F133" si="48">SUM(E135:E139)</f>
        <v>0</v>
      </c>
      <c r="F133" s="78">
        <f t="shared" si="48"/>
        <v>0</v>
      </c>
      <c r="G133" s="79">
        <f>SUM(G135:G141)</f>
        <v>13796.65</v>
      </c>
      <c r="H133" s="79">
        <f>SUM(H135:H139)</f>
        <v>0</v>
      </c>
      <c r="I133" s="78">
        <f t="shared" ref="I133:J133" si="49">SUM(I135:I139)</f>
        <v>7796.75</v>
      </c>
      <c r="J133" s="78">
        <f t="shared" si="49"/>
        <v>0</v>
      </c>
      <c r="K133" s="79">
        <f>SUM(K135:K141)</f>
        <v>13803.706666666667</v>
      </c>
      <c r="L133" s="79">
        <f>SUM(L135:L139)</f>
        <v>0</v>
      </c>
      <c r="M133" s="78">
        <f t="shared" ref="M133:P133" si="50">SUM(M135:M139)</f>
        <v>8140.09</v>
      </c>
      <c r="N133" s="78">
        <f t="shared" si="50"/>
        <v>0</v>
      </c>
      <c r="O133" s="79">
        <f>SUM(O135:O141)</f>
        <v>10673.5</v>
      </c>
      <c r="P133" s="79">
        <f t="shared" si="50"/>
        <v>0</v>
      </c>
      <c r="Q133" s="78">
        <f t="shared" ref="Q133:R133" si="51">SUM(Q135:Q139)</f>
        <v>1588.32</v>
      </c>
      <c r="R133" s="78">
        <f t="shared" si="51"/>
        <v>0</v>
      </c>
      <c r="S133" s="79">
        <f t="shared" ref="S133:T133" si="52">SUM(S135:S139)</f>
        <v>803.16</v>
      </c>
      <c r="T133" s="79">
        <f t="shared" si="52"/>
        <v>0</v>
      </c>
      <c r="U133" s="45">
        <f t="shared" ref="U133:V133" si="53">SUM(U135:U139)</f>
        <v>3472.2599999999998</v>
      </c>
      <c r="V133" s="45">
        <f t="shared" si="53"/>
        <v>0</v>
      </c>
      <c r="W133" s="31">
        <f>SUM(W135:W139)</f>
        <v>3002.3833333333337</v>
      </c>
      <c r="X133" s="31">
        <v>0</v>
      </c>
      <c r="Y133" s="50">
        <f>SUM(Y135:Y139)</f>
        <v>13893.51</v>
      </c>
      <c r="Z133" s="50">
        <f>SUM(Z135:Z139)</f>
        <v>0</v>
      </c>
      <c r="AA133" s="31">
        <f>SUM(AA135:AA139)</f>
        <v>13894.550000000003</v>
      </c>
      <c r="AB133" s="31">
        <v>0</v>
      </c>
      <c r="AC133" s="31"/>
      <c r="AD133" s="78">
        <f>SUM(AD135:AD139)</f>
        <v>15212.9</v>
      </c>
      <c r="AE133" s="78">
        <f>SUM(AE135:AE139)</f>
        <v>0</v>
      </c>
      <c r="AF133" s="79">
        <f>SUM(AF135:AF139)</f>
        <v>14575</v>
      </c>
      <c r="AG133" s="79">
        <v>0</v>
      </c>
      <c r="AH133" s="79"/>
      <c r="AI133" s="80">
        <f>SUM(AI135:AI139)</f>
        <v>15888.390000000001</v>
      </c>
      <c r="AJ133" s="80">
        <f t="shared" ref="AJ133:AO133" si="54">SUM(AJ135:AJ139)</f>
        <v>23.33</v>
      </c>
      <c r="AK133" s="80">
        <f t="shared" si="54"/>
        <v>15865.060000000001</v>
      </c>
      <c r="AL133" s="26">
        <f>SUM(AL137:AL139)</f>
        <v>9346.14</v>
      </c>
      <c r="AM133" s="7">
        <f>SUM(AM135:AM139)</f>
        <v>0</v>
      </c>
      <c r="AN133" s="19">
        <f>SUM(AN135:AN139)</f>
        <v>9346.14</v>
      </c>
      <c r="AO133" s="6" t="e">
        <f t="shared" si="54"/>
        <v>#REF!</v>
      </c>
    </row>
    <row r="134" spans="1:43" x14ac:dyDescent="0.25">
      <c r="A134" s="4"/>
      <c r="B134" s="4"/>
      <c r="C134" s="4"/>
      <c r="D134" s="153"/>
      <c r="E134" s="78"/>
      <c r="F134" s="78">
        <f>F133-E133</f>
        <v>0</v>
      </c>
      <c r="G134" s="79"/>
      <c r="H134" s="79">
        <f>H133-G133</f>
        <v>-13796.65</v>
      </c>
      <c r="I134" s="78"/>
      <c r="J134" s="78">
        <f>J133-I133</f>
        <v>-7796.75</v>
      </c>
      <c r="K134" s="79"/>
      <c r="L134" s="79">
        <f>L133-K133</f>
        <v>-13803.706666666667</v>
      </c>
      <c r="M134" s="78"/>
      <c r="N134" s="78">
        <f>N133-M133</f>
        <v>-8140.09</v>
      </c>
      <c r="O134" s="79"/>
      <c r="P134" s="79">
        <f>P133-O133</f>
        <v>-10673.5</v>
      </c>
      <c r="Q134" s="78"/>
      <c r="R134" s="78">
        <f>R133-Q133</f>
        <v>-1588.32</v>
      </c>
      <c r="S134" s="79"/>
      <c r="T134" s="79">
        <f>T133-S133</f>
        <v>-803.16</v>
      </c>
      <c r="U134" s="46"/>
      <c r="V134" s="45">
        <f>V133-U133</f>
        <v>-3472.2599999999998</v>
      </c>
      <c r="W134" s="31"/>
      <c r="X134" s="31">
        <f>X133-W133</f>
        <v>-3002.3833333333337</v>
      </c>
      <c r="Y134" s="41"/>
      <c r="Z134" s="51">
        <f>Z133-Y133</f>
        <v>-13893.51</v>
      </c>
      <c r="AA134" s="31"/>
      <c r="AB134" s="31">
        <f>AB133-AA133</f>
        <v>-13894.550000000003</v>
      </c>
      <c r="AC134" s="31"/>
      <c r="AD134" s="78"/>
      <c r="AE134" s="78">
        <f>AE133-AD133</f>
        <v>-15212.9</v>
      </c>
      <c r="AF134" s="79"/>
      <c r="AG134" s="79">
        <f>AG133-AF133</f>
        <v>-14575</v>
      </c>
      <c r="AH134" s="79"/>
      <c r="AI134" s="80"/>
      <c r="AJ134" s="80">
        <f>AJ133-AI133</f>
        <v>-15865.060000000001</v>
      </c>
      <c r="AK134" s="80"/>
      <c r="AL134" s="28"/>
      <c r="AM134" s="9">
        <f>AM133-AL133</f>
        <v>-9346.14</v>
      </c>
      <c r="AN134" s="22"/>
      <c r="AO134" s="8"/>
    </row>
    <row r="135" spans="1:43" x14ac:dyDescent="0.25">
      <c r="C135" t="s">
        <v>132</v>
      </c>
      <c r="D135" s="145" t="s">
        <v>133</v>
      </c>
      <c r="E135" s="81"/>
      <c r="F135" s="81"/>
      <c r="G135" s="82"/>
      <c r="H135" s="82"/>
      <c r="I135" s="81"/>
      <c r="J135" s="81"/>
      <c r="K135" s="82"/>
      <c r="L135" s="82"/>
      <c r="M135" s="81"/>
      <c r="N135" s="81"/>
      <c r="O135" s="82">
        <v>0</v>
      </c>
      <c r="P135" s="82"/>
      <c r="Q135" s="81"/>
      <c r="R135" s="81"/>
      <c r="S135" s="82">
        <v>0</v>
      </c>
      <c r="T135" s="82"/>
      <c r="U135" s="46">
        <v>2669.1</v>
      </c>
      <c r="V135" s="46"/>
      <c r="W135" s="33">
        <v>2669.05</v>
      </c>
      <c r="X135" s="33">
        <v>0</v>
      </c>
      <c r="Y135" s="47">
        <v>9527.52</v>
      </c>
      <c r="Z135" s="47">
        <v>0</v>
      </c>
      <c r="AA135" s="33">
        <f>12196.62-236.39-209.71-241.98-498.52-949.84-175.44-356.96</f>
        <v>9527.7800000000025</v>
      </c>
      <c r="AB135" s="33">
        <v>0</v>
      </c>
      <c r="AC135" s="33"/>
      <c r="AD135" s="81">
        <v>10736</v>
      </c>
      <c r="AE135" s="81">
        <v>0</v>
      </c>
      <c r="AF135" s="82">
        <v>10050</v>
      </c>
      <c r="AG135" s="82">
        <v>0</v>
      </c>
      <c r="AH135" s="82"/>
      <c r="AI135" s="34">
        <v>10047.93</v>
      </c>
      <c r="AJ135" s="34">
        <v>0</v>
      </c>
      <c r="AK135" s="34">
        <f>AI135</f>
        <v>10047.93</v>
      </c>
      <c r="AL135" s="10">
        <v>0</v>
      </c>
      <c r="AM135" s="10">
        <v>0</v>
      </c>
      <c r="AN135" s="18">
        <f>AL135-AM135</f>
        <v>0</v>
      </c>
      <c r="AO135" s="18" t="e">
        <f>#REF!-#REF!</f>
        <v>#REF!</v>
      </c>
    </row>
    <row r="136" spans="1:43" x14ac:dyDescent="0.25">
      <c r="C136" t="s">
        <v>190</v>
      </c>
      <c r="D136" s="145">
        <v>63020000</v>
      </c>
      <c r="E136" s="81"/>
      <c r="F136" s="81"/>
      <c r="G136" s="82"/>
      <c r="H136" s="82"/>
      <c r="I136" s="81"/>
      <c r="J136" s="81"/>
      <c r="K136" s="82">
        <v>0</v>
      </c>
      <c r="L136" s="82"/>
      <c r="M136" s="81">
        <v>669.15</v>
      </c>
      <c r="N136" s="81"/>
      <c r="O136" s="82">
        <v>0</v>
      </c>
      <c r="P136" s="82"/>
      <c r="Q136" s="81">
        <v>669.12</v>
      </c>
      <c r="R136" s="81"/>
      <c r="S136" s="82">
        <v>0</v>
      </c>
      <c r="T136" s="82"/>
      <c r="U136" s="46">
        <v>669.12</v>
      </c>
      <c r="V136" s="46"/>
      <c r="W136" s="33"/>
      <c r="X136" s="33"/>
      <c r="Y136" s="47"/>
      <c r="Z136" s="47"/>
      <c r="AA136" s="33"/>
      <c r="AB136" s="33"/>
      <c r="AC136" s="33"/>
      <c r="AD136" s="81"/>
      <c r="AE136" s="81"/>
      <c r="AF136" s="82"/>
      <c r="AG136" s="82"/>
      <c r="AH136" s="82"/>
      <c r="AI136" s="34"/>
      <c r="AJ136" s="34"/>
      <c r="AK136" s="34"/>
      <c r="AL136" s="10"/>
      <c r="AM136" s="10"/>
      <c r="AN136" s="18"/>
      <c r="AO136" s="18"/>
    </row>
    <row r="137" spans="1:43" x14ac:dyDescent="0.25">
      <c r="C137" t="s">
        <v>7</v>
      </c>
      <c r="D137" s="145" t="s">
        <v>119</v>
      </c>
      <c r="E137" s="81"/>
      <c r="F137" s="81"/>
      <c r="G137" s="82">
        <v>1011.49</v>
      </c>
      <c r="H137" s="82"/>
      <c r="I137" s="81">
        <v>1011.59</v>
      </c>
      <c r="J137" s="81"/>
      <c r="K137" s="82">
        <f>551.88+(1400/3)</f>
        <v>1018.5466666666666</v>
      </c>
      <c r="L137" s="82"/>
      <c r="M137" s="81">
        <v>685.78</v>
      </c>
      <c r="N137" s="81"/>
      <c r="O137" s="82">
        <v>111.57</v>
      </c>
      <c r="P137" s="82"/>
      <c r="Q137" s="81">
        <v>134.04</v>
      </c>
      <c r="R137" s="81"/>
      <c r="S137" s="82">
        <f>134.04+669.12</f>
        <v>803.16</v>
      </c>
      <c r="T137" s="82"/>
      <c r="U137" s="46">
        <v>134.04</v>
      </c>
      <c r="V137" s="46"/>
      <c r="W137" s="33">
        <f>1000/3</f>
        <v>333.33333333333331</v>
      </c>
      <c r="X137" s="33">
        <v>0</v>
      </c>
      <c r="Y137" s="47">
        <v>0</v>
      </c>
      <c r="Z137" s="47">
        <v>0</v>
      </c>
      <c r="AA137" s="33">
        <v>0</v>
      </c>
      <c r="AB137" s="33">
        <v>0</v>
      </c>
      <c r="AC137" s="33"/>
      <c r="AD137" s="81">
        <v>0</v>
      </c>
      <c r="AE137" s="81">
        <v>0</v>
      </c>
      <c r="AF137" s="82">
        <v>0</v>
      </c>
      <c r="AG137" s="82">
        <v>0</v>
      </c>
      <c r="AH137" s="82"/>
      <c r="AI137" s="34">
        <v>1322.54</v>
      </c>
      <c r="AJ137" s="34">
        <v>0</v>
      </c>
      <c r="AK137" s="34">
        <v>1322.54</v>
      </c>
      <c r="AL137" s="10">
        <v>4856.33</v>
      </c>
      <c r="AM137" s="10">
        <v>0</v>
      </c>
      <c r="AN137" s="18">
        <f>AL137-AM137</f>
        <v>4856.33</v>
      </c>
      <c r="AO137" s="18" t="e">
        <f>#REF!-#REF!</f>
        <v>#REF!</v>
      </c>
      <c r="AP137" s="103"/>
    </row>
    <row r="138" spans="1:43" x14ac:dyDescent="0.25">
      <c r="C138" t="s">
        <v>74</v>
      </c>
      <c r="D138" s="145" t="s">
        <v>88</v>
      </c>
      <c r="E138" s="81"/>
      <c r="F138" s="81"/>
      <c r="G138" s="82">
        <v>785.16</v>
      </c>
      <c r="H138" s="82"/>
      <c r="I138" s="81">
        <v>785.16</v>
      </c>
      <c r="J138" s="81"/>
      <c r="K138" s="82">
        <v>785.16</v>
      </c>
      <c r="L138" s="82"/>
      <c r="M138" s="81">
        <v>785.16</v>
      </c>
      <c r="N138" s="81"/>
      <c r="O138" s="82">
        <f>557.63+654.3</f>
        <v>1211.9299999999998</v>
      </c>
      <c r="P138" s="82"/>
      <c r="Q138" s="81">
        <v>785.16</v>
      </c>
      <c r="R138" s="81"/>
      <c r="S138" s="82">
        <v>0</v>
      </c>
      <c r="T138" s="82"/>
      <c r="U138" s="46">
        <v>0</v>
      </c>
      <c r="V138" s="46"/>
      <c r="W138" s="33">
        <v>0</v>
      </c>
      <c r="X138" s="33">
        <v>0</v>
      </c>
      <c r="Y138" s="47">
        <v>1341.77</v>
      </c>
      <c r="Z138" s="47">
        <v>0</v>
      </c>
      <c r="AA138" s="33">
        <f>14.5+1327.27</f>
        <v>1341.77</v>
      </c>
      <c r="AB138" s="33">
        <v>0</v>
      </c>
      <c r="AC138" s="33"/>
      <c r="AD138" s="81">
        <v>1452.62</v>
      </c>
      <c r="AE138" s="81">
        <v>0</v>
      </c>
      <c r="AF138" s="82">
        <v>1500</v>
      </c>
      <c r="AG138" s="82">
        <v>0</v>
      </c>
      <c r="AH138" s="82"/>
      <c r="AI138" s="34">
        <v>1493.64</v>
      </c>
      <c r="AJ138" s="34">
        <v>23.33</v>
      </c>
      <c r="AK138" s="34">
        <f>AI138-AJ138</f>
        <v>1470.3100000000002</v>
      </c>
      <c r="AL138" s="10">
        <v>1465.54</v>
      </c>
      <c r="AM138" s="10">
        <v>0</v>
      </c>
      <c r="AN138" s="18">
        <f>AL138-AM138</f>
        <v>1465.54</v>
      </c>
      <c r="AO138" s="18" t="e">
        <f>#REF!-#REF!</f>
        <v>#REF!</v>
      </c>
    </row>
    <row r="139" spans="1:43" x14ac:dyDescent="0.25">
      <c r="C139" t="s">
        <v>43</v>
      </c>
      <c r="D139" s="145" t="s">
        <v>98</v>
      </c>
      <c r="E139" s="81"/>
      <c r="F139" s="81"/>
      <c r="G139" s="82">
        <v>6000</v>
      </c>
      <c r="H139" s="82"/>
      <c r="I139" s="81">
        <v>6000</v>
      </c>
      <c r="J139" s="81"/>
      <c r="K139" s="82">
        <v>6000</v>
      </c>
      <c r="L139" s="82"/>
      <c r="M139" s="81">
        <v>6000</v>
      </c>
      <c r="N139" s="81"/>
      <c r="O139" s="82">
        <v>0</v>
      </c>
      <c r="P139" s="82"/>
      <c r="Q139" s="81"/>
      <c r="R139" s="81"/>
      <c r="S139" s="82">
        <v>0</v>
      </c>
      <c r="T139" s="82"/>
      <c r="U139" s="46">
        <v>0</v>
      </c>
      <c r="V139" s="46"/>
      <c r="W139" s="33">
        <v>0</v>
      </c>
      <c r="X139" s="33">
        <v>0</v>
      </c>
      <c r="Y139" s="47">
        <v>3024.22</v>
      </c>
      <c r="Z139" s="47">
        <v>0</v>
      </c>
      <c r="AA139" s="33">
        <v>3025</v>
      </c>
      <c r="AB139" s="33">
        <v>0</v>
      </c>
      <c r="AC139" s="33"/>
      <c r="AD139" s="81">
        <v>3024.28</v>
      </c>
      <c r="AE139" s="81">
        <v>0</v>
      </c>
      <c r="AF139" s="82">
        <v>3025</v>
      </c>
      <c r="AG139" s="82">
        <v>0</v>
      </c>
      <c r="AH139" s="82"/>
      <c r="AI139" s="34">
        <v>3024.28</v>
      </c>
      <c r="AJ139" s="34">
        <v>0</v>
      </c>
      <c r="AK139" s="34">
        <v>3024.28</v>
      </c>
      <c r="AL139" s="10">
        <v>3024.27</v>
      </c>
      <c r="AM139" s="10">
        <v>0</v>
      </c>
      <c r="AN139" s="18">
        <f>AL139-AM139</f>
        <v>3024.27</v>
      </c>
      <c r="AO139" s="18" t="e">
        <f>#REF!-#REF!</f>
        <v>#REF!</v>
      </c>
      <c r="AP139" s="25"/>
    </row>
    <row r="140" spans="1:43" x14ac:dyDescent="0.25">
      <c r="C140" s="103" t="s">
        <v>732</v>
      </c>
      <c r="D140" s="145"/>
      <c r="E140" s="81"/>
      <c r="F140" s="81"/>
      <c r="G140" s="82"/>
      <c r="H140" s="82"/>
      <c r="I140" s="81"/>
      <c r="J140" s="81"/>
      <c r="K140" s="82"/>
      <c r="L140" s="82"/>
      <c r="M140" s="81"/>
      <c r="N140" s="81"/>
      <c r="O140" s="82">
        <f>3350</f>
        <v>3350</v>
      </c>
      <c r="P140" s="82"/>
      <c r="Q140" s="81"/>
      <c r="R140" s="81"/>
      <c r="S140" s="82"/>
      <c r="T140" s="82"/>
      <c r="U140" s="46"/>
      <c r="V140" s="46"/>
      <c r="W140" s="33"/>
      <c r="X140" s="33"/>
      <c r="Y140" s="47"/>
      <c r="Z140" s="47"/>
      <c r="AA140" s="33"/>
      <c r="AB140" s="33"/>
      <c r="AC140" s="33"/>
      <c r="AD140" s="81"/>
      <c r="AE140" s="81"/>
      <c r="AF140" s="82"/>
      <c r="AG140" s="82"/>
      <c r="AH140" s="82"/>
      <c r="AI140" s="34"/>
      <c r="AJ140" s="34"/>
      <c r="AK140" s="34"/>
      <c r="AL140" s="10"/>
      <c r="AM140" s="10"/>
      <c r="AN140" s="18"/>
      <c r="AO140" s="18"/>
      <c r="AP140" s="25"/>
    </row>
    <row r="141" spans="1:43" x14ac:dyDescent="0.25">
      <c r="C141" t="s">
        <v>729</v>
      </c>
      <c r="D141" s="145"/>
      <c r="E141" s="81"/>
      <c r="F141" s="81"/>
      <c r="G141" s="82">
        <v>6000</v>
      </c>
      <c r="H141" s="82"/>
      <c r="I141" s="81"/>
      <c r="J141" s="81"/>
      <c r="K141" s="82">
        <v>6000</v>
      </c>
      <c r="L141" s="82"/>
      <c r="M141" s="81"/>
      <c r="N141" s="81"/>
      <c r="O141" s="82">
        <v>6000</v>
      </c>
      <c r="P141" s="82"/>
      <c r="Q141" s="81"/>
      <c r="R141" s="81"/>
      <c r="S141" s="82"/>
      <c r="T141" s="82"/>
      <c r="U141" s="46"/>
      <c r="V141" s="46"/>
      <c r="W141" s="33"/>
      <c r="X141" s="33"/>
      <c r="Y141" s="47"/>
      <c r="Z141" s="47"/>
      <c r="AA141" s="33"/>
      <c r="AB141" s="33"/>
      <c r="AC141" s="33"/>
      <c r="AD141" s="81"/>
      <c r="AE141" s="81"/>
      <c r="AF141" s="82"/>
      <c r="AG141" s="82"/>
      <c r="AH141" s="82"/>
      <c r="AI141" s="34"/>
      <c r="AJ141" s="34"/>
      <c r="AK141" s="34"/>
      <c r="AL141" s="10"/>
      <c r="AM141" s="10"/>
      <c r="AN141" s="18"/>
      <c r="AO141" s="18"/>
      <c r="AP141" s="25">
        <v>30000</v>
      </c>
      <c r="AQ141" t="s">
        <v>734</v>
      </c>
    </row>
    <row r="142" spans="1:43" x14ac:dyDescent="0.25">
      <c r="D142" s="145"/>
      <c r="E142" s="81"/>
      <c r="F142" s="81"/>
      <c r="G142" s="82"/>
      <c r="H142" s="82"/>
      <c r="I142" s="81"/>
      <c r="J142" s="81"/>
      <c r="K142" s="82"/>
      <c r="L142" s="82"/>
      <c r="M142" s="81"/>
      <c r="N142" s="81"/>
      <c r="O142" s="82"/>
      <c r="P142" s="82"/>
      <c r="Q142" s="81"/>
      <c r="R142" s="81"/>
      <c r="S142" s="82"/>
      <c r="T142" s="82"/>
      <c r="U142" s="46"/>
      <c r="V142" s="46"/>
      <c r="W142" s="33"/>
      <c r="X142" s="33"/>
      <c r="Y142" s="42"/>
      <c r="Z142" s="42"/>
      <c r="AA142" s="33"/>
      <c r="AB142" s="33"/>
      <c r="AC142" s="33"/>
      <c r="AD142" s="81"/>
      <c r="AE142" s="81"/>
      <c r="AF142" s="82"/>
      <c r="AG142" s="82"/>
      <c r="AH142" s="82"/>
      <c r="AI142" s="34"/>
      <c r="AJ142" s="34"/>
      <c r="AK142" s="34"/>
      <c r="AL142" s="10"/>
      <c r="AM142" s="10"/>
      <c r="AN142" s="18"/>
      <c r="AO142" s="18"/>
    </row>
    <row r="143" spans="1:43" x14ac:dyDescent="0.25">
      <c r="A143" s="3" t="s">
        <v>100</v>
      </c>
      <c r="B143" s="14" t="s">
        <v>166</v>
      </c>
      <c r="C143" s="14"/>
      <c r="D143" s="152"/>
      <c r="E143" s="78">
        <f t="shared" ref="E143:H143" si="55">SUM(E145:E149)</f>
        <v>0</v>
      </c>
      <c r="F143" s="78">
        <f t="shared" si="55"/>
        <v>0</v>
      </c>
      <c r="G143" s="79">
        <f t="shared" si="55"/>
        <v>2090.2200000000003</v>
      </c>
      <c r="H143" s="79">
        <f t="shared" si="55"/>
        <v>3010.52</v>
      </c>
      <c r="I143" s="78">
        <f t="shared" ref="I143:L143" si="56">SUM(I145:I149)</f>
        <v>6079.29</v>
      </c>
      <c r="J143" s="78">
        <f t="shared" si="56"/>
        <v>17736.25</v>
      </c>
      <c r="K143" s="79">
        <f t="shared" si="56"/>
        <v>2300</v>
      </c>
      <c r="L143" s="79">
        <f t="shared" si="56"/>
        <v>5500</v>
      </c>
      <c r="M143" s="78">
        <f t="shared" ref="M143:P143" si="57">SUM(M145:M149)</f>
        <v>4686.6099999999997</v>
      </c>
      <c r="N143" s="78">
        <f t="shared" si="57"/>
        <v>5073.6000000000004</v>
      </c>
      <c r="O143" s="79">
        <f t="shared" si="57"/>
        <v>2525</v>
      </c>
      <c r="P143" s="79">
        <f t="shared" si="57"/>
        <v>6250</v>
      </c>
      <c r="Q143" s="78">
        <f t="shared" ref="Q143:AB143" si="58">SUM(Q145:Q149)</f>
        <v>2325.67</v>
      </c>
      <c r="R143" s="78">
        <f t="shared" si="58"/>
        <v>6250</v>
      </c>
      <c r="S143" s="79">
        <f t="shared" si="58"/>
        <v>2395</v>
      </c>
      <c r="T143" s="79">
        <f t="shared" si="58"/>
        <v>6250</v>
      </c>
      <c r="U143" s="45">
        <f t="shared" si="58"/>
        <v>2475.9299999999998</v>
      </c>
      <c r="V143" s="45">
        <f t="shared" si="58"/>
        <v>6250</v>
      </c>
      <c r="W143" s="31">
        <f t="shared" si="58"/>
        <v>2375</v>
      </c>
      <c r="X143" s="31">
        <f t="shared" si="58"/>
        <v>6250</v>
      </c>
      <c r="Y143" s="50">
        <f t="shared" si="58"/>
        <v>2412.02</v>
      </c>
      <c r="Z143" s="50">
        <f t="shared" si="58"/>
        <v>6253.56</v>
      </c>
      <c r="AA143" s="31">
        <f t="shared" si="58"/>
        <v>2840</v>
      </c>
      <c r="AB143" s="31">
        <f t="shared" si="58"/>
        <v>8125</v>
      </c>
      <c r="AC143" s="31"/>
      <c r="AD143" s="78">
        <f>SUM(AD145:AD149)</f>
        <v>2834.3</v>
      </c>
      <c r="AE143" s="78">
        <f>SUM(AE145:AE149)</f>
        <v>8125.25</v>
      </c>
      <c r="AF143" s="79">
        <f>SUM(AF145:AF149)</f>
        <v>470</v>
      </c>
      <c r="AG143" s="79">
        <f>SUM(AG145:AG149)</f>
        <v>12040</v>
      </c>
      <c r="AH143" s="79"/>
      <c r="AI143" s="80">
        <f>SUM(AI145:AI149)</f>
        <v>3999.39</v>
      </c>
      <c r="AJ143" s="80">
        <f>SUM(AJ145:AJ149)</f>
        <v>11828.75</v>
      </c>
      <c r="AK143" s="80">
        <f>SUM(AK145:AK146)</f>
        <v>98.77000000000001</v>
      </c>
      <c r="AL143" s="26">
        <f>SUM(AL145:AL146)</f>
        <v>368.53</v>
      </c>
      <c r="AM143" s="7">
        <f>SUM(AM145:AM146)</f>
        <v>0</v>
      </c>
      <c r="AN143" s="11">
        <f>SUM(AN145:AN146)</f>
        <v>368.53</v>
      </c>
      <c r="AO143" s="6" t="e">
        <f>SUM(AO145:AO146)</f>
        <v>#REF!</v>
      </c>
      <c r="AQ143" s="54"/>
    </row>
    <row r="144" spans="1:43" x14ac:dyDescent="0.25">
      <c r="A144" s="4"/>
      <c r="B144" s="4"/>
      <c r="C144" s="4"/>
      <c r="D144" s="153"/>
      <c r="E144" s="78"/>
      <c r="F144" s="78">
        <f>F143-E143</f>
        <v>0</v>
      </c>
      <c r="G144" s="79"/>
      <c r="H144" s="79">
        <f>H143-G143</f>
        <v>920.29999999999973</v>
      </c>
      <c r="I144" s="78"/>
      <c r="J144" s="78">
        <f>J143-I143</f>
        <v>11656.96</v>
      </c>
      <c r="K144" s="79"/>
      <c r="L144" s="79">
        <f>L143-K143</f>
        <v>3200</v>
      </c>
      <c r="M144" s="78"/>
      <c r="N144" s="78">
        <f>N143-M143</f>
        <v>386.99000000000069</v>
      </c>
      <c r="O144" s="79"/>
      <c r="P144" s="79">
        <f>P143-O143</f>
        <v>3725</v>
      </c>
      <c r="Q144" s="78"/>
      <c r="R144" s="78">
        <f>R143-Q143</f>
        <v>3924.33</v>
      </c>
      <c r="S144" s="79"/>
      <c r="T144" s="79">
        <f>T143-S143</f>
        <v>3855</v>
      </c>
      <c r="U144" s="45"/>
      <c r="V144" s="102">
        <f>V143-U143</f>
        <v>3774.07</v>
      </c>
      <c r="W144" s="31"/>
      <c r="X144" s="31">
        <f>X143-W143</f>
        <v>3875</v>
      </c>
      <c r="Y144" s="41"/>
      <c r="Z144" s="51">
        <f>Z143-Y143</f>
        <v>3841.5400000000004</v>
      </c>
      <c r="AA144" s="31"/>
      <c r="AB144" s="31">
        <f>AB143-AA143</f>
        <v>5285</v>
      </c>
      <c r="AC144" s="31"/>
      <c r="AD144" s="78"/>
      <c r="AE144" s="78">
        <f>AE143-AD143</f>
        <v>5290.95</v>
      </c>
      <c r="AF144" s="79"/>
      <c r="AG144" s="79">
        <f>AG143-AF143</f>
        <v>11570</v>
      </c>
      <c r="AH144" s="79"/>
      <c r="AI144" s="80"/>
      <c r="AJ144" s="80">
        <f>AJ143-AI143</f>
        <v>7829.3600000000006</v>
      </c>
      <c r="AK144" s="80"/>
      <c r="AL144" s="28"/>
      <c r="AM144" s="9">
        <f>AM143-AL143</f>
        <v>-368.53</v>
      </c>
      <c r="AN144" s="21"/>
      <c r="AO144" s="8"/>
    </row>
    <row r="145" spans="1:43" x14ac:dyDescent="0.25">
      <c r="C145" t="s">
        <v>58</v>
      </c>
      <c r="D145" s="145" t="s">
        <v>68</v>
      </c>
      <c r="E145" s="81"/>
      <c r="F145" s="81"/>
      <c r="G145" s="82">
        <v>800</v>
      </c>
      <c r="H145" s="82"/>
      <c r="I145" s="81">
        <v>978.54</v>
      </c>
      <c r="J145" s="81"/>
      <c r="K145" s="82">
        <v>650</v>
      </c>
      <c r="L145" s="82"/>
      <c r="M145" s="81">
        <v>3162.39</v>
      </c>
      <c r="N145" s="81"/>
      <c r="O145" s="82">
        <v>650</v>
      </c>
      <c r="P145" s="82">
        <v>0</v>
      </c>
      <c r="Q145" s="81">
        <v>441.52</v>
      </c>
      <c r="R145" s="81"/>
      <c r="S145" s="82">
        <v>520</v>
      </c>
      <c r="T145" s="82">
        <v>0</v>
      </c>
      <c r="U145" s="46">
        <v>600</v>
      </c>
      <c r="V145" s="46"/>
      <c r="W145" s="33">
        <v>500</v>
      </c>
      <c r="X145" s="33">
        <v>0</v>
      </c>
      <c r="Y145" s="47">
        <v>535.95000000000005</v>
      </c>
      <c r="Z145" s="47">
        <v>0</v>
      </c>
      <c r="AA145" s="33">
        <v>400</v>
      </c>
      <c r="AB145" s="33">
        <v>0</v>
      </c>
      <c r="AC145" s="33"/>
      <c r="AD145" s="81">
        <f>321.98+74.82</f>
        <v>396.8</v>
      </c>
      <c r="AE145" s="81">
        <v>0</v>
      </c>
      <c r="AF145" s="82">
        <v>395</v>
      </c>
      <c r="AG145" s="82">
        <v>0</v>
      </c>
      <c r="AH145" s="82"/>
      <c r="AI145" s="34">
        <f>208.15+0.15+183.15</f>
        <v>391.45000000000005</v>
      </c>
      <c r="AJ145" s="34">
        <v>90.2</v>
      </c>
      <c r="AK145" s="34">
        <v>117.95</v>
      </c>
      <c r="AL145" s="10">
        <v>368.53</v>
      </c>
      <c r="AM145" s="10">
        <v>0</v>
      </c>
      <c r="AN145" s="18">
        <f>AL145-AM145</f>
        <v>368.53</v>
      </c>
      <c r="AO145" s="18" t="e">
        <f>#REF!-#REF!</f>
        <v>#REF!</v>
      </c>
      <c r="AP145" s="103"/>
    </row>
    <row r="146" spans="1:43" x14ac:dyDescent="0.25">
      <c r="C146" t="s">
        <v>64</v>
      </c>
      <c r="D146" s="145" t="s">
        <v>81</v>
      </c>
      <c r="E146" s="81"/>
      <c r="F146" s="81"/>
      <c r="G146" s="82"/>
      <c r="H146" s="82"/>
      <c r="I146" s="81">
        <v>42.37</v>
      </c>
      <c r="J146" s="81"/>
      <c r="K146" s="82"/>
      <c r="L146" s="82"/>
      <c r="M146" s="81">
        <v>2.14</v>
      </c>
      <c r="N146" s="81"/>
      <c r="O146" s="82">
        <v>0</v>
      </c>
      <c r="P146" s="82">
        <v>0</v>
      </c>
      <c r="Q146" s="81">
        <f>9.03-0.01+0.13</f>
        <v>9.15</v>
      </c>
      <c r="R146" s="81"/>
      <c r="S146" s="82">
        <v>0</v>
      </c>
      <c r="T146" s="82">
        <v>0</v>
      </c>
      <c r="U146" s="46">
        <f>0.02+0.91</f>
        <v>0.93</v>
      </c>
      <c r="V146" s="46"/>
      <c r="W146" s="33">
        <v>0</v>
      </c>
      <c r="X146" s="33">
        <v>0</v>
      </c>
      <c r="Y146" s="47">
        <v>0</v>
      </c>
      <c r="Z146" s="47">
        <v>0</v>
      </c>
      <c r="AA146" s="33">
        <v>0</v>
      </c>
      <c r="AB146" s="33">
        <v>0</v>
      </c>
      <c r="AC146" s="33"/>
      <c r="AD146" s="81">
        <v>0</v>
      </c>
      <c r="AE146" s="81">
        <v>0.25</v>
      </c>
      <c r="AF146" s="82">
        <v>0</v>
      </c>
      <c r="AG146" s="82">
        <v>0</v>
      </c>
      <c r="AH146" s="82"/>
      <c r="AI146" s="34">
        <v>0</v>
      </c>
      <c r="AJ146" s="34">
        <v>19.18</v>
      </c>
      <c r="AK146" s="34">
        <v>-19.18</v>
      </c>
      <c r="AL146" s="10">
        <v>0</v>
      </c>
      <c r="AM146" s="10">
        <v>0</v>
      </c>
      <c r="AN146" s="18">
        <f>AL146-AM146</f>
        <v>0</v>
      </c>
      <c r="AO146" s="18" t="e">
        <f>#REF!-#REF!</f>
        <v>#REF!</v>
      </c>
    </row>
    <row r="147" spans="1:43" x14ac:dyDescent="0.25">
      <c r="C147" t="s">
        <v>84</v>
      </c>
      <c r="D147" s="145" t="s">
        <v>128</v>
      </c>
      <c r="E147" s="81"/>
      <c r="F147" s="81"/>
      <c r="G147" s="82"/>
      <c r="H147" s="82">
        <v>3010.52</v>
      </c>
      <c r="I147" s="81"/>
      <c r="J147" s="81">
        <v>5700</v>
      </c>
      <c r="K147" s="82"/>
      <c r="L147" s="82">
        <v>5500</v>
      </c>
      <c r="M147" s="81"/>
      <c r="N147" s="81">
        <v>5073.6000000000004</v>
      </c>
      <c r="O147" s="82">
        <v>0</v>
      </c>
      <c r="P147" s="82">
        <v>6250</v>
      </c>
      <c r="Q147" s="81"/>
      <c r="R147" s="81">
        <f>4950+1300</f>
        <v>6250</v>
      </c>
      <c r="S147" s="82">
        <v>0</v>
      </c>
      <c r="T147" s="82">
        <v>6250</v>
      </c>
      <c r="U147" s="46"/>
      <c r="V147" s="46">
        <v>6250</v>
      </c>
      <c r="W147" s="33">
        <v>0</v>
      </c>
      <c r="X147" s="33">
        <v>6250</v>
      </c>
      <c r="Y147" s="47">
        <v>0</v>
      </c>
      <c r="Z147" s="47">
        <v>6253.56</v>
      </c>
      <c r="AA147" s="33">
        <v>0</v>
      </c>
      <c r="AB147" s="33">
        <v>8125</v>
      </c>
      <c r="AC147" s="33"/>
      <c r="AD147" s="81">
        <v>0</v>
      </c>
      <c r="AE147" s="81">
        <f>3175+4950</f>
        <v>8125</v>
      </c>
      <c r="AF147" s="82">
        <v>0</v>
      </c>
      <c r="AG147" s="82">
        <v>11370</v>
      </c>
      <c r="AH147" s="82"/>
      <c r="AI147" s="34">
        <v>0</v>
      </c>
      <c r="AJ147" s="34">
        <v>11375</v>
      </c>
      <c r="AK147" s="34">
        <v>-11375</v>
      </c>
      <c r="AL147" s="10">
        <v>0</v>
      </c>
      <c r="AM147" s="10">
        <v>11372.54</v>
      </c>
      <c r="AN147" s="18">
        <f>AL147-AM147</f>
        <v>-11372.54</v>
      </c>
      <c r="AO147" s="18" t="e">
        <f>#REF!-#REF!</f>
        <v>#REF!</v>
      </c>
      <c r="AQ147" s="54"/>
    </row>
    <row r="148" spans="1:43" x14ac:dyDescent="0.25">
      <c r="C148" t="s">
        <v>70</v>
      </c>
      <c r="D148" s="145" t="s">
        <v>108</v>
      </c>
      <c r="E148" s="81"/>
      <c r="F148" s="81"/>
      <c r="G148" s="82"/>
      <c r="H148" s="82"/>
      <c r="I148" s="81"/>
      <c r="J148" s="81">
        <v>12036.25</v>
      </c>
      <c r="K148" s="82"/>
      <c r="L148" s="82"/>
      <c r="M148" s="81"/>
      <c r="N148" s="81"/>
      <c r="O148" s="82">
        <v>0</v>
      </c>
      <c r="P148" s="82">
        <v>0</v>
      </c>
      <c r="Q148" s="81"/>
      <c r="R148" s="81"/>
      <c r="S148" s="82">
        <v>0</v>
      </c>
      <c r="T148" s="82">
        <v>0</v>
      </c>
      <c r="U148" s="46"/>
      <c r="V148" s="46"/>
      <c r="W148" s="33">
        <v>0</v>
      </c>
      <c r="X148" s="33">
        <v>0</v>
      </c>
      <c r="Y148" s="47">
        <v>0</v>
      </c>
      <c r="Z148" s="47">
        <v>0</v>
      </c>
      <c r="AA148" s="33"/>
      <c r="AB148" s="33">
        <v>0</v>
      </c>
      <c r="AC148" s="33"/>
      <c r="AD148" s="81">
        <v>0</v>
      </c>
      <c r="AE148" s="81">
        <v>0</v>
      </c>
      <c r="AF148" s="82"/>
      <c r="AG148" s="82">
        <v>670</v>
      </c>
      <c r="AH148" s="82"/>
      <c r="AI148" s="34">
        <v>101.24</v>
      </c>
      <c r="AJ148" s="34">
        <v>314</v>
      </c>
      <c r="AK148" s="34">
        <v>-212.76</v>
      </c>
      <c r="AL148" s="10">
        <v>0</v>
      </c>
      <c r="AM148" s="10">
        <f>672.8</f>
        <v>672.8</v>
      </c>
      <c r="AN148" s="18">
        <f>AL148-AM148</f>
        <v>-672.8</v>
      </c>
      <c r="AO148" s="18" t="e">
        <f>#REF!-#REF!</f>
        <v>#REF!</v>
      </c>
    </row>
    <row r="149" spans="1:43" x14ac:dyDescent="0.25">
      <c r="C149" t="s">
        <v>52</v>
      </c>
      <c r="D149" s="145" t="s">
        <v>77</v>
      </c>
      <c r="E149" s="81"/>
      <c r="F149" s="81"/>
      <c r="G149" s="82">
        <v>1290.22</v>
      </c>
      <c r="H149" s="82"/>
      <c r="I149" s="81">
        <v>5058.38</v>
      </c>
      <c r="J149" s="81"/>
      <c r="K149" s="82">
        <f>L147*0.3</f>
        <v>1650</v>
      </c>
      <c r="L149" s="82"/>
      <c r="M149" s="81">
        <v>1522.08</v>
      </c>
      <c r="N149" s="81"/>
      <c r="O149" s="82">
        <v>1875</v>
      </c>
      <c r="P149" s="82">
        <v>0</v>
      </c>
      <c r="Q149" s="81">
        <v>1875</v>
      </c>
      <c r="R149" s="81"/>
      <c r="S149" s="82">
        <v>1875</v>
      </c>
      <c r="T149" s="82">
        <v>0</v>
      </c>
      <c r="U149" s="46">
        <v>1875</v>
      </c>
      <c r="V149" s="46"/>
      <c r="W149" s="33">
        <f>X147*0.3</f>
        <v>1875</v>
      </c>
      <c r="X149" s="33">
        <v>0</v>
      </c>
      <c r="Y149" s="47">
        <v>1876.07</v>
      </c>
      <c r="Z149" s="47">
        <v>0</v>
      </c>
      <c r="AA149" s="33">
        <v>2440</v>
      </c>
      <c r="AB149" s="33">
        <v>0</v>
      </c>
      <c r="AC149" s="33"/>
      <c r="AD149" s="81">
        <v>2437.5</v>
      </c>
      <c r="AE149" s="81">
        <v>0</v>
      </c>
      <c r="AF149" s="82">
        <v>75</v>
      </c>
      <c r="AG149" s="82">
        <v>0</v>
      </c>
      <c r="AH149" s="82"/>
      <c r="AI149" s="34">
        <v>3506.7</v>
      </c>
      <c r="AJ149" s="34">
        <v>30.37</v>
      </c>
      <c r="AK149" s="34">
        <v>3476.33</v>
      </c>
      <c r="AL149" s="10">
        <v>72.260000000000005</v>
      </c>
      <c r="AM149" s="10">
        <v>0</v>
      </c>
      <c r="AN149" s="18">
        <f>AL149-AM149</f>
        <v>72.260000000000005</v>
      </c>
      <c r="AO149" s="18" t="e">
        <f>#REF!-#REF!</f>
        <v>#REF!</v>
      </c>
    </row>
    <row r="150" spans="1:43" x14ac:dyDescent="0.25">
      <c r="D150" s="145"/>
      <c r="E150" s="81"/>
      <c r="F150" s="81"/>
      <c r="G150" s="82"/>
      <c r="H150" s="82"/>
      <c r="I150" s="81"/>
      <c r="J150" s="81"/>
      <c r="K150" s="82"/>
      <c r="L150" s="82"/>
      <c r="M150" s="81"/>
      <c r="N150" s="81"/>
      <c r="O150" s="82"/>
      <c r="P150" s="82"/>
      <c r="Q150" s="81"/>
      <c r="R150" s="81"/>
      <c r="S150" s="82"/>
      <c r="T150" s="82"/>
      <c r="U150" s="46"/>
      <c r="V150" s="46"/>
      <c r="W150" s="33"/>
      <c r="X150" s="33"/>
      <c r="Y150" s="42"/>
      <c r="Z150" s="42"/>
      <c r="AA150" s="33"/>
      <c r="AB150" s="33"/>
      <c r="AC150" s="33"/>
      <c r="AD150" s="81"/>
      <c r="AE150" s="81"/>
      <c r="AF150" s="82"/>
      <c r="AG150" s="82"/>
      <c r="AH150" s="82"/>
      <c r="AI150" s="34"/>
      <c r="AJ150" s="34"/>
      <c r="AK150" s="34"/>
      <c r="AL150" s="10"/>
      <c r="AM150" s="10"/>
      <c r="AN150" s="18"/>
      <c r="AO150" s="18"/>
    </row>
    <row r="151" spans="1:43" x14ac:dyDescent="0.25">
      <c r="A151" s="3" t="s">
        <v>49</v>
      </c>
      <c r="B151" s="14" t="s">
        <v>44</v>
      </c>
      <c r="C151" s="14"/>
      <c r="D151" s="152"/>
      <c r="E151" s="78">
        <f t="shared" ref="E151:F151" si="59">SUM(E153:E155)</f>
        <v>0</v>
      </c>
      <c r="F151" s="78">
        <f t="shared" si="59"/>
        <v>0</v>
      </c>
      <c r="G151" s="79">
        <f t="shared" ref="G151:H151" si="60">SUM(G153:G155)</f>
        <v>2512.2886424999997</v>
      </c>
      <c r="H151" s="79">
        <f t="shared" si="60"/>
        <v>0</v>
      </c>
      <c r="I151" s="78">
        <f t="shared" ref="I151:J151" si="61">SUM(I153:I155)</f>
        <v>160</v>
      </c>
      <c r="J151" s="78">
        <f t="shared" si="61"/>
        <v>1966</v>
      </c>
      <c r="K151" s="79">
        <f t="shared" ref="K151:L151" si="62">SUM(K153:K155)</f>
        <v>2505</v>
      </c>
      <c r="L151" s="79">
        <f t="shared" si="62"/>
        <v>0</v>
      </c>
      <c r="M151" s="78">
        <f>SUM(M153:M155)</f>
        <v>2493.46</v>
      </c>
      <c r="N151" s="78">
        <f t="shared" ref="N151" si="63">SUM(N153:N155)</f>
        <v>0</v>
      </c>
      <c r="O151" s="79">
        <f t="shared" ref="O151:P151" si="64">SUM(O153:O155)</f>
        <v>1280</v>
      </c>
      <c r="P151" s="79">
        <f t="shared" si="64"/>
        <v>0</v>
      </c>
      <c r="Q151" s="78">
        <f t="shared" ref="Q151:R151" si="65">SUM(Q153:Q155)</f>
        <v>1069.08</v>
      </c>
      <c r="R151" s="78">
        <f t="shared" si="65"/>
        <v>0</v>
      </c>
      <c r="S151" s="79">
        <f t="shared" ref="S151:T151" si="66">SUM(S153:S155)</f>
        <v>1132.08</v>
      </c>
      <c r="T151" s="79">
        <f t="shared" si="66"/>
        <v>0</v>
      </c>
      <c r="U151" s="45">
        <f t="shared" ref="U151:AB151" si="67">SUM(U153:U155)</f>
        <v>1231.3900000000001</v>
      </c>
      <c r="V151" s="45">
        <f t="shared" si="67"/>
        <v>0</v>
      </c>
      <c r="W151" s="31">
        <f t="shared" si="67"/>
        <v>1421.39</v>
      </c>
      <c r="X151" s="31">
        <f t="shared" si="67"/>
        <v>0</v>
      </c>
      <c r="Y151" s="50">
        <f t="shared" si="67"/>
        <v>1327.99</v>
      </c>
      <c r="Z151" s="50">
        <f t="shared" si="67"/>
        <v>0</v>
      </c>
      <c r="AA151" s="31">
        <f t="shared" si="67"/>
        <v>1527.13</v>
      </c>
      <c r="AB151" s="31">
        <f t="shared" si="67"/>
        <v>0</v>
      </c>
      <c r="AC151" s="31"/>
      <c r="AD151" s="78">
        <f>SUM(AD153:AD155)</f>
        <v>1482.64</v>
      </c>
      <c r="AE151" s="78">
        <f>SUM(AE153:AE155)</f>
        <v>0</v>
      </c>
      <c r="AF151" s="79">
        <f>SUM(AF153:AF155)</f>
        <v>4475</v>
      </c>
      <c r="AG151" s="79">
        <v>0</v>
      </c>
      <c r="AH151" s="79"/>
      <c r="AI151" s="80">
        <f t="shared" ref="AI151:AO151" si="68">SUM(AI153:AI155)</f>
        <v>328.49</v>
      </c>
      <c r="AJ151" s="80">
        <f t="shared" si="68"/>
        <v>0</v>
      </c>
      <c r="AK151" s="84">
        <f t="shared" si="68"/>
        <v>328.49</v>
      </c>
      <c r="AL151" s="26">
        <f t="shared" si="68"/>
        <v>4452.6100000000006</v>
      </c>
      <c r="AM151" s="7">
        <f t="shared" si="68"/>
        <v>0</v>
      </c>
      <c r="AN151" s="23">
        <f t="shared" si="68"/>
        <v>4452.6100000000006</v>
      </c>
      <c r="AO151" s="6" t="e">
        <f t="shared" si="68"/>
        <v>#REF!</v>
      </c>
    </row>
    <row r="152" spans="1:43" x14ac:dyDescent="0.25">
      <c r="A152" s="4"/>
      <c r="B152" s="4"/>
      <c r="C152" s="4"/>
      <c r="D152" s="153"/>
      <c r="E152" s="78"/>
      <c r="F152" s="78">
        <f>F151-E151</f>
        <v>0</v>
      </c>
      <c r="G152" s="79"/>
      <c r="H152" s="79">
        <f>H151-G151</f>
        <v>-2512.2886424999997</v>
      </c>
      <c r="I152" s="78"/>
      <c r="J152" s="78">
        <f>J151-I151</f>
        <v>1806</v>
      </c>
      <c r="K152" s="79"/>
      <c r="L152" s="79">
        <f>L151-K151</f>
        <v>-2505</v>
      </c>
      <c r="M152" s="78"/>
      <c r="N152" s="78">
        <f>N151-M151</f>
        <v>-2493.46</v>
      </c>
      <c r="O152" s="79"/>
      <c r="P152" s="79">
        <f>P151-O151</f>
        <v>-1280</v>
      </c>
      <c r="Q152" s="78"/>
      <c r="R152" s="78">
        <f>R151-Q151</f>
        <v>-1069.08</v>
      </c>
      <c r="S152" s="79"/>
      <c r="T152" s="79">
        <f>T151-S151</f>
        <v>-1132.08</v>
      </c>
      <c r="U152" s="46"/>
      <c r="V152" s="45">
        <f>V151-U151</f>
        <v>-1231.3900000000001</v>
      </c>
      <c r="W152" s="31"/>
      <c r="X152" s="31">
        <f>X151-W151</f>
        <v>-1421.39</v>
      </c>
      <c r="Y152" s="41"/>
      <c r="Z152" s="51">
        <f>Z151-Y151</f>
        <v>-1327.99</v>
      </c>
      <c r="AA152" s="31"/>
      <c r="AB152" s="31">
        <f>AB151-AA151</f>
        <v>-1527.13</v>
      </c>
      <c r="AC152" s="31"/>
      <c r="AD152" s="78"/>
      <c r="AE152" s="78">
        <f>AE151-AD151</f>
        <v>-1482.64</v>
      </c>
      <c r="AF152" s="79"/>
      <c r="AG152" s="79">
        <f>AG151-AF151</f>
        <v>-4475</v>
      </c>
      <c r="AH152" s="79"/>
      <c r="AI152" s="80"/>
      <c r="AJ152" s="80">
        <f>AJ151-AI151</f>
        <v>-328.49</v>
      </c>
      <c r="AK152" s="84"/>
      <c r="AL152" s="28"/>
      <c r="AM152" s="9">
        <f>AM151-AL151</f>
        <v>-4452.6100000000006</v>
      </c>
      <c r="AN152" s="24"/>
      <c r="AO152" s="8"/>
    </row>
    <row r="153" spans="1:43" x14ac:dyDescent="0.25">
      <c r="C153" t="s">
        <v>31</v>
      </c>
      <c r="D153" s="145" t="s">
        <v>73</v>
      </c>
      <c r="E153" s="81"/>
      <c r="F153" s="81"/>
      <c r="G153" s="82"/>
      <c r="H153" s="82"/>
      <c r="I153" s="81"/>
      <c r="J153" s="81"/>
      <c r="K153" s="82"/>
      <c r="L153" s="82"/>
      <c r="M153" s="81"/>
      <c r="N153" s="81"/>
      <c r="O153" s="82">
        <v>150</v>
      </c>
      <c r="P153" s="82"/>
      <c r="Q153" s="81"/>
      <c r="R153" s="81"/>
      <c r="S153" s="82">
        <v>150</v>
      </c>
      <c r="T153" s="82"/>
      <c r="U153" s="46"/>
      <c r="V153" s="46"/>
      <c r="W153" s="33">
        <v>150</v>
      </c>
      <c r="X153" s="33">
        <v>0</v>
      </c>
      <c r="Y153" s="48">
        <v>0</v>
      </c>
      <c r="Z153" s="48">
        <v>0</v>
      </c>
      <c r="AA153" s="33">
        <v>150</v>
      </c>
      <c r="AB153" s="33">
        <v>0</v>
      </c>
      <c r="AC153" s="33"/>
      <c r="AD153" s="81">
        <v>0</v>
      </c>
      <c r="AE153" s="81">
        <v>0</v>
      </c>
      <c r="AF153" s="82">
        <v>150</v>
      </c>
      <c r="AG153" s="82">
        <v>0</v>
      </c>
      <c r="AH153" s="82"/>
      <c r="AI153" s="34">
        <v>173.8</v>
      </c>
      <c r="AJ153" s="34">
        <v>0</v>
      </c>
      <c r="AK153" s="34">
        <v>173.8</v>
      </c>
      <c r="AL153" s="10">
        <v>126.93</v>
      </c>
      <c r="AM153" s="10">
        <v>0</v>
      </c>
      <c r="AN153" s="18">
        <f>AL153-AM153</f>
        <v>126.93</v>
      </c>
      <c r="AO153" s="18" t="e">
        <f>#REF!-#REF!</f>
        <v>#REF!</v>
      </c>
      <c r="AP153" s="2"/>
    </row>
    <row r="154" spans="1:43" x14ac:dyDescent="0.25">
      <c r="C154" s="2" t="s">
        <v>148</v>
      </c>
      <c r="D154" s="145">
        <v>64020000</v>
      </c>
      <c r="E154" s="81"/>
      <c r="F154" s="81"/>
      <c r="G154" s="82">
        <v>2347.2886424999997</v>
      </c>
      <c r="H154" s="82"/>
      <c r="I154" s="81"/>
      <c r="J154" s="81">
        <v>1966</v>
      </c>
      <c r="K154" s="82">
        <v>2350</v>
      </c>
      <c r="L154" s="82"/>
      <c r="M154" s="81">
        <v>2351.79</v>
      </c>
      <c r="N154" s="81"/>
      <c r="O154" s="82">
        <v>1000</v>
      </c>
      <c r="P154" s="82"/>
      <c r="Q154" s="81">
        <v>932.08</v>
      </c>
      <c r="R154" s="81"/>
      <c r="S154" s="82">
        <v>932.08</v>
      </c>
      <c r="T154" s="82"/>
      <c r="U154" s="46">
        <v>1231.3900000000001</v>
      </c>
      <c r="V154" s="46"/>
      <c r="W154" s="33">
        <v>1231.3900000000001</v>
      </c>
      <c r="X154" s="33">
        <v>0</v>
      </c>
      <c r="Y154" s="48">
        <v>1293.8</v>
      </c>
      <c r="Z154" s="48">
        <v>0</v>
      </c>
      <c r="AA154" s="33">
        <v>1257.1300000000001</v>
      </c>
      <c r="AB154" s="33">
        <v>0</v>
      </c>
      <c r="AC154" s="33"/>
      <c r="AD154" s="81">
        <v>1364.49</v>
      </c>
      <c r="AE154" s="81">
        <v>0</v>
      </c>
      <c r="AF154" s="82">
        <v>750</v>
      </c>
      <c r="AG154" s="82"/>
      <c r="AH154" s="82"/>
      <c r="AI154" s="34">
        <v>0</v>
      </c>
      <c r="AJ154" s="34">
        <v>0</v>
      </c>
      <c r="AK154" s="34">
        <f>AI154-AJ154</f>
        <v>0</v>
      </c>
      <c r="AL154" s="10">
        <v>742.4</v>
      </c>
      <c r="AM154" s="10">
        <v>0</v>
      </c>
      <c r="AN154" s="18">
        <f>AL154-AM154</f>
        <v>742.4</v>
      </c>
      <c r="AO154" s="18" t="e">
        <f>#REF!-#REF!</f>
        <v>#REF!</v>
      </c>
    </row>
    <row r="155" spans="1:43" x14ac:dyDescent="0.25">
      <c r="C155" s="15" t="s">
        <v>154</v>
      </c>
      <c r="D155" s="145" t="s">
        <v>143</v>
      </c>
      <c r="E155" s="81"/>
      <c r="F155" s="81"/>
      <c r="G155" s="82">
        <v>165</v>
      </c>
      <c r="H155" s="82"/>
      <c r="I155" s="81">
        <v>160</v>
      </c>
      <c r="J155" s="81"/>
      <c r="K155" s="82">
        <v>155</v>
      </c>
      <c r="L155" s="82"/>
      <c r="M155" s="81">
        <v>141.66999999999999</v>
      </c>
      <c r="N155" s="81"/>
      <c r="O155" s="82">
        <v>130</v>
      </c>
      <c r="P155" s="82"/>
      <c r="Q155" s="81">
        <v>137</v>
      </c>
      <c r="R155" s="81"/>
      <c r="S155" s="82">
        <v>50</v>
      </c>
      <c r="T155" s="82"/>
      <c r="U155" s="46"/>
      <c r="V155" s="46"/>
      <c r="W155" s="33">
        <v>40</v>
      </c>
      <c r="X155" s="33">
        <v>0</v>
      </c>
      <c r="Y155" s="48">
        <v>34.19</v>
      </c>
      <c r="Z155" s="48">
        <v>0</v>
      </c>
      <c r="AA155" s="33">
        <v>120</v>
      </c>
      <c r="AB155" s="33">
        <v>0</v>
      </c>
      <c r="AC155" s="33"/>
      <c r="AD155" s="81">
        <v>118.15</v>
      </c>
      <c r="AE155" s="81">
        <v>0</v>
      </c>
      <c r="AF155" s="82">
        <v>3575</v>
      </c>
      <c r="AG155" s="82">
        <v>0</v>
      </c>
      <c r="AH155" s="82"/>
      <c r="AI155" s="34">
        <v>154.69</v>
      </c>
      <c r="AJ155" s="34">
        <v>0</v>
      </c>
      <c r="AK155" s="34">
        <v>154.69</v>
      </c>
      <c r="AL155" s="10">
        <v>3583.28</v>
      </c>
      <c r="AM155" s="10">
        <v>0</v>
      </c>
      <c r="AN155" s="18">
        <f>AL155-AM155</f>
        <v>3583.28</v>
      </c>
      <c r="AO155" s="18" t="e">
        <f>#REF!-#REF!</f>
        <v>#REF!</v>
      </c>
    </row>
    <row r="156" spans="1:43" x14ac:dyDescent="0.25">
      <c r="C156" s="15"/>
      <c r="D156" s="32"/>
      <c r="E156" s="81"/>
      <c r="F156" s="81"/>
      <c r="G156" s="82"/>
      <c r="H156" s="82"/>
      <c r="I156" s="81"/>
      <c r="J156" s="81"/>
      <c r="K156" s="82"/>
      <c r="L156" s="82"/>
      <c r="M156" s="81"/>
      <c r="N156" s="81"/>
      <c r="O156" s="82"/>
      <c r="P156" s="82"/>
      <c r="Q156" s="81"/>
      <c r="R156" s="81"/>
      <c r="S156" s="82"/>
      <c r="T156" s="82"/>
      <c r="U156" s="46"/>
      <c r="V156" s="46"/>
      <c r="W156" s="33"/>
      <c r="X156" s="33"/>
      <c r="Y156" s="42"/>
      <c r="Z156" s="42"/>
      <c r="AA156" s="33"/>
      <c r="AB156" s="33"/>
      <c r="AC156" s="33"/>
      <c r="AD156" s="81"/>
      <c r="AE156" s="81"/>
      <c r="AF156" s="82"/>
      <c r="AG156" s="82"/>
      <c r="AH156" s="82"/>
      <c r="AI156" s="34"/>
      <c r="AJ156" s="34"/>
      <c r="AK156" s="34"/>
      <c r="AL156" s="10"/>
      <c r="AM156" s="10"/>
      <c r="AN156" s="10"/>
      <c r="AO156" s="10"/>
    </row>
    <row r="157" spans="1:43" hidden="1" x14ac:dyDescent="0.25">
      <c r="A157" s="3" t="s">
        <v>106</v>
      </c>
      <c r="B157" s="14" t="s">
        <v>36</v>
      </c>
      <c r="C157" s="14"/>
      <c r="D157" s="150"/>
      <c r="E157" s="78">
        <v>0</v>
      </c>
      <c r="F157" s="78">
        <f>SUM(F159:F174)</f>
        <v>0</v>
      </c>
      <c r="G157" s="79">
        <v>0</v>
      </c>
      <c r="H157" s="79">
        <f>SUM(H159:H174)</f>
        <v>0</v>
      </c>
      <c r="I157" s="78">
        <v>0</v>
      </c>
      <c r="J157" s="78">
        <f>SUM(J159:J174)</f>
        <v>0</v>
      </c>
      <c r="K157" s="79">
        <v>0</v>
      </c>
      <c r="L157" s="79">
        <f>SUM(L159:L174)</f>
        <v>0</v>
      </c>
      <c r="M157" s="78">
        <v>0</v>
      </c>
      <c r="N157" s="78">
        <f>SUM(N159:N174)</f>
        <v>0</v>
      </c>
      <c r="O157" s="79">
        <v>0</v>
      </c>
      <c r="P157" s="79">
        <f>SUM(P159:P174)</f>
        <v>0</v>
      </c>
      <c r="Q157" s="78">
        <v>0</v>
      </c>
      <c r="R157" s="78">
        <f>SUM(R159:R174)</f>
        <v>0</v>
      </c>
      <c r="S157" s="79">
        <v>0</v>
      </c>
      <c r="T157" s="79">
        <f>SUM(T159:T174)</f>
        <v>0</v>
      </c>
      <c r="U157" s="45">
        <v>0</v>
      </c>
      <c r="V157" s="45">
        <v>0</v>
      </c>
      <c r="W157" s="31">
        <v>0</v>
      </c>
      <c r="X157" s="31">
        <v>0</v>
      </c>
      <c r="Y157" s="45">
        <f>SUM(Y158:Y178)</f>
        <v>271312.54000000004</v>
      </c>
      <c r="Z157" s="45">
        <f>SUM(Z159:Z174)</f>
        <v>11969.61</v>
      </c>
      <c r="AA157" s="31">
        <v>0</v>
      </c>
      <c r="AB157" s="31">
        <v>0</v>
      </c>
      <c r="AC157" s="31"/>
      <c r="AD157" s="78">
        <v>0</v>
      </c>
      <c r="AE157" s="78">
        <v>0</v>
      </c>
      <c r="AF157" s="79">
        <v>0</v>
      </c>
      <c r="AG157" s="79">
        <v>0</v>
      </c>
      <c r="AH157" s="79"/>
      <c r="AI157" s="85">
        <f>SUM(AI159:AI174)</f>
        <v>102097.42999999998</v>
      </c>
      <c r="AJ157" s="85">
        <f>SUM(AJ159:AJ174)</f>
        <v>32582.61</v>
      </c>
      <c r="AK157" s="80"/>
      <c r="AL157" s="10"/>
      <c r="AM157" s="10"/>
      <c r="AN157" s="10"/>
      <c r="AO157" s="10"/>
    </row>
    <row r="158" spans="1:43" hidden="1" x14ac:dyDescent="0.25">
      <c r="A158" s="4"/>
      <c r="B158" s="4"/>
      <c r="C158" s="4"/>
      <c r="D158" s="151"/>
      <c r="E158" s="78"/>
      <c r="F158" s="78">
        <f>F157-E157</f>
        <v>0</v>
      </c>
      <c r="G158" s="79"/>
      <c r="H158" s="79">
        <f>H157-G157</f>
        <v>0</v>
      </c>
      <c r="I158" s="78"/>
      <c r="J158" s="78">
        <f>J157-I157</f>
        <v>0</v>
      </c>
      <c r="K158" s="79"/>
      <c r="L158" s="79">
        <f>L157-K157</f>
        <v>0</v>
      </c>
      <c r="M158" s="78"/>
      <c r="N158" s="78">
        <f>N157-M157</f>
        <v>0</v>
      </c>
      <c r="O158" s="79"/>
      <c r="P158" s="79">
        <f>P157-O157</f>
        <v>0</v>
      </c>
      <c r="Q158" s="78"/>
      <c r="R158" s="78">
        <f>R157-Q157</f>
        <v>0</v>
      </c>
      <c r="S158" s="79"/>
      <c r="T158" s="79">
        <f>T157-S157</f>
        <v>0</v>
      </c>
      <c r="U158" s="46"/>
      <c r="V158" s="45"/>
      <c r="W158" s="31"/>
      <c r="X158" s="31">
        <v>0</v>
      </c>
      <c r="Y158" s="45"/>
      <c r="Z158" s="45">
        <f>Z157-Y157</f>
        <v>-259342.93000000005</v>
      </c>
      <c r="AA158" s="31"/>
      <c r="AB158" s="31">
        <v>0</v>
      </c>
      <c r="AC158" s="31"/>
      <c r="AD158" s="78"/>
      <c r="AE158" s="78">
        <v>0</v>
      </c>
      <c r="AF158" s="79"/>
      <c r="AG158" s="79">
        <v>0</v>
      </c>
      <c r="AH158" s="79"/>
      <c r="AI158" s="85"/>
      <c r="AJ158" s="85">
        <f>AI157-AJ157</f>
        <v>69514.819999999978</v>
      </c>
      <c r="AK158" s="80"/>
      <c r="AL158" s="10"/>
      <c r="AM158" s="10"/>
      <c r="AN158" s="10"/>
      <c r="AO158" s="10"/>
    </row>
    <row r="159" spans="1:43" hidden="1" x14ac:dyDescent="0.25">
      <c r="C159" t="s">
        <v>35</v>
      </c>
      <c r="D159" s="32" t="s">
        <v>135</v>
      </c>
      <c r="E159" s="81"/>
      <c r="F159" s="81"/>
      <c r="G159" s="82"/>
      <c r="H159" s="82"/>
      <c r="I159" s="81"/>
      <c r="J159" s="81"/>
      <c r="K159" s="82"/>
      <c r="L159" s="82"/>
      <c r="M159" s="81"/>
      <c r="N159" s="81"/>
      <c r="O159" s="82">
        <v>0</v>
      </c>
      <c r="P159" s="82"/>
      <c r="Q159" s="81"/>
      <c r="R159" s="81"/>
      <c r="S159" s="82">
        <v>0</v>
      </c>
      <c r="T159" s="82"/>
      <c r="U159" s="46"/>
      <c r="V159" s="46"/>
      <c r="W159" s="33">
        <v>0</v>
      </c>
      <c r="X159" s="33">
        <v>0</v>
      </c>
      <c r="Y159" s="46">
        <v>0</v>
      </c>
      <c r="Z159" s="46">
        <v>0</v>
      </c>
      <c r="AA159" s="33">
        <v>0</v>
      </c>
      <c r="AB159" s="33">
        <v>0</v>
      </c>
      <c r="AC159" s="34">
        <v>0</v>
      </c>
      <c r="AD159" s="81">
        <v>0</v>
      </c>
      <c r="AE159" s="81">
        <v>0</v>
      </c>
      <c r="AF159" s="82">
        <v>0</v>
      </c>
      <c r="AG159" s="82">
        <v>0</v>
      </c>
      <c r="AH159" s="82"/>
      <c r="AI159" s="86">
        <v>48284.29</v>
      </c>
      <c r="AJ159" s="86">
        <v>0</v>
      </c>
      <c r="AK159" s="34"/>
      <c r="AL159" s="10"/>
      <c r="AM159" s="10"/>
      <c r="AN159" s="10"/>
      <c r="AO159" s="10"/>
    </row>
    <row r="160" spans="1:43" hidden="1" x14ac:dyDescent="0.25">
      <c r="C160" t="s">
        <v>29</v>
      </c>
      <c r="D160" s="32" t="s">
        <v>75</v>
      </c>
      <c r="E160" s="81"/>
      <c r="F160" s="81"/>
      <c r="G160" s="82"/>
      <c r="H160" s="82"/>
      <c r="I160" s="81"/>
      <c r="J160" s="81"/>
      <c r="K160" s="82"/>
      <c r="L160" s="82"/>
      <c r="M160" s="81"/>
      <c r="N160" s="81"/>
      <c r="O160" s="82">
        <v>0</v>
      </c>
      <c r="P160" s="82"/>
      <c r="Q160" s="81"/>
      <c r="R160" s="81"/>
      <c r="S160" s="82">
        <v>0</v>
      </c>
      <c r="T160" s="82"/>
      <c r="U160" s="46"/>
      <c r="V160" s="46"/>
      <c r="W160" s="33">
        <v>0</v>
      </c>
      <c r="X160" s="33">
        <v>0</v>
      </c>
      <c r="Y160" s="46">
        <v>0</v>
      </c>
      <c r="Z160" s="46">
        <v>0</v>
      </c>
      <c r="AA160" s="33">
        <v>0</v>
      </c>
      <c r="AB160" s="33">
        <v>0</v>
      </c>
      <c r="AC160" s="34">
        <v>0</v>
      </c>
      <c r="AD160" s="81">
        <v>0</v>
      </c>
      <c r="AE160" s="81">
        <v>0</v>
      </c>
      <c r="AF160" s="82">
        <v>0</v>
      </c>
      <c r="AG160" s="82">
        <v>0</v>
      </c>
      <c r="AH160" s="82"/>
      <c r="AI160" s="86">
        <v>284.77</v>
      </c>
      <c r="AJ160" s="86">
        <v>0</v>
      </c>
      <c r="AK160" s="34"/>
      <c r="AL160" s="10"/>
      <c r="AM160" s="10"/>
      <c r="AN160" s="10"/>
      <c r="AO160" s="10"/>
    </row>
    <row r="161" spans="3:41" hidden="1" x14ac:dyDescent="0.25">
      <c r="C161" t="s">
        <v>59</v>
      </c>
      <c r="D161" s="32" t="s">
        <v>65</v>
      </c>
      <c r="E161" s="81"/>
      <c r="F161" s="81"/>
      <c r="G161" s="82"/>
      <c r="H161" s="82"/>
      <c r="I161" s="81"/>
      <c r="J161" s="81"/>
      <c r="K161" s="82"/>
      <c r="L161" s="82"/>
      <c r="M161" s="81"/>
      <c r="N161" s="81"/>
      <c r="O161" s="82">
        <v>0</v>
      </c>
      <c r="P161" s="82"/>
      <c r="Q161" s="81"/>
      <c r="R161" s="81"/>
      <c r="S161" s="82">
        <v>0</v>
      </c>
      <c r="T161" s="82"/>
      <c r="U161" s="46"/>
      <c r="V161" s="46"/>
      <c r="W161" s="33">
        <v>0</v>
      </c>
      <c r="X161" s="33">
        <v>0</v>
      </c>
      <c r="Y161" s="46">
        <v>0</v>
      </c>
      <c r="Z161" s="46">
        <v>0</v>
      </c>
      <c r="AA161" s="33">
        <v>0</v>
      </c>
      <c r="AB161" s="33">
        <v>0</v>
      </c>
      <c r="AC161" s="34">
        <v>0</v>
      </c>
      <c r="AD161" s="81">
        <v>0</v>
      </c>
      <c r="AE161" s="81">
        <v>0</v>
      </c>
      <c r="AF161" s="82">
        <v>0</v>
      </c>
      <c r="AG161" s="82">
        <v>0</v>
      </c>
      <c r="AH161" s="82"/>
      <c r="AI161" s="86">
        <v>687.49</v>
      </c>
      <c r="AJ161" s="86">
        <v>0</v>
      </c>
      <c r="AK161" s="34"/>
      <c r="AL161" s="10"/>
      <c r="AM161" s="10"/>
      <c r="AN161" s="10"/>
      <c r="AO161" s="10"/>
    </row>
    <row r="162" spans="3:41" hidden="1" x14ac:dyDescent="0.25">
      <c r="C162" t="s">
        <v>102</v>
      </c>
      <c r="D162" s="32" t="s">
        <v>46</v>
      </c>
      <c r="E162" s="81"/>
      <c r="F162" s="81"/>
      <c r="G162" s="82"/>
      <c r="H162" s="82"/>
      <c r="I162" s="81"/>
      <c r="J162" s="81"/>
      <c r="K162" s="82"/>
      <c r="L162" s="82"/>
      <c r="M162" s="81"/>
      <c r="N162" s="81"/>
      <c r="O162" s="82">
        <v>0</v>
      </c>
      <c r="P162" s="82"/>
      <c r="Q162" s="81"/>
      <c r="R162" s="81"/>
      <c r="S162" s="82">
        <v>0</v>
      </c>
      <c r="T162" s="82"/>
      <c r="U162" s="46"/>
      <c r="V162" s="46"/>
      <c r="W162" s="33">
        <v>0</v>
      </c>
      <c r="X162" s="33">
        <v>0</v>
      </c>
      <c r="Y162" s="46">
        <v>0</v>
      </c>
      <c r="Z162" s="46">
        <v>0</v>
      </c>
      <c r="AA162" s="33">
        <v>0</v>
      </c>
      <c r="AB162" s="33">
        <v>0</v>
      </c>
      <c r="AC162" s="34">
        <v>0</v>
      </c>
      <c r="AD162" s="81">
        <v>0</v>
      </c>
      <c r="AE162" s="81">
        <v>0</v>
      </c>
      <c r="AF162" s="82">
        <v>0</v>
      </c>
      <c r="AG162" s="82">
        <v>0</v>
      </c>
      <c r="AH162" s="82"/>
      <c r="AI162" s="86">
        <f>2164.77-385.39</f>
        <v>1779.38</v>
      </c>
      <c r="AJ162" s="86">
        <v>0</v>
      </c>
      <c r="AK162" s="34"/>
      <c r="AL162" s="10"/>
      <c r="AM162" s="10"/>
      <c r="AN162" s="10"/>
      <c r="AO162" s="10"/>
    </row>
    <row r="163" spans="3:41" hidden="1" x14ac:dyDescent="0.25">
      <c r="C163" t="s">
        <v>131</v>
      </c>
      <c r="D163" s="32" t="s">
        <v>62</v>
      </c>
      <c r="E163" s="81"/>
      <c r="F163" s="81"/>
      <c r="G163" s="82"/>
      <c r="H163" s="82"/>
      <c r="I163" s="81"/>
      <c r="J163" s="81"/>
      <c r="K163" s="82"/>
      <c r="L163" s="82"/>
      <c r="M163" s="81"/>
      <c r="N163" s="81"/>
      <c r="O163" s="82">
        <v>0</v>
      </c>
      <c r="P163" s="82"/>
      <c r="Q163" s="81"/>
      <c r="R163" s="81"/>
      <c r="S163" s="82">
        <v>0</v>
      </c>
      <c r="T163" s="82"/>
      <c r="U163" s="46"/>
      <c r="V163" s="46"/>
      <c r="W163" s="33">
        <v>0</v>
      </c>
      <c r="X163" s="33">
        <v>0</v>
      </c>
      <c r="Y163" s="46">
        <v>0</v>
      </c>
      <c r="Z163" s="46">
        <v>0</v>
      </c>
      <c r="AA163" s="33">
        <v>0</v>
      </c>
      <c r="AB163" s="33">
        <v>0</v>
      </c>
      <c r="AC163" s="34">
        <v>0</v>
      </c>
      <c r="AD163" s="81">
        <v>0</v>
      </c>
      <c r="AE163" s="81">
        <v>0</v>
      </c>
      <c r="AF163" s="82">
        <v>0</v>
      </c>
      <c r="AG163" s="82">
        <v>0</v>
      </c>
      <c r="AH163" s="82"/>
      <c r="AI163" s="86">
        <v>16942.71</v>
      </c>
      <c r="AJ163" s="86">
        <v>0</v>
      </c>
      <c r="AK163" s="34"/>
      <c r="AL163" s="10"/>
      <c r="AM163" s="10"/>
      <c r="AN163" s="10"/>
      <c r="AO163" s="10"/>
    </row>
    <row r="164" spans="3:41" hidden="1" x14ac:dyDescent="0.25">
      <c r="C164" t="s">
        <v>124</v>
      </c>
      <c r="D164" s="32" t="s">
        <v>113</v>
      </c>
      <c r="E164" s="81"/>
      <c r="F164" s="81"/>
      <c r="G164" s="82"/>
      <c r="H164" s="82"/>
      <c r="I164" s="81"/>
      <c r="J164" s="81"/>
      <c r="K164" s="82"/>
      <c r="L164" s="82"/>
      <c r="M164" s="81"/>
      <c r="N164" s="81"/>
      <c r="O164" s="82">
        <v>0</v>
      </c>
      <c r="P164" s="82"/>
      <c r="Q164" s="81"/>
      <c r="R164" s="81"/>
      <c r="S164" s="82">
        <v>0</v>
      </c>
      <c r="T164" s="82"/>
      <c r="U164" s="46"/>
      <c r="V164" s="46"/>
      <c r="W164" s="33">
        <v>0</v>
      </c>
      <c r="X164" s="33">
        <v>0</v>
      </c>
      <c r="Y164" s="46">
        <v>0</v>
      </c>
      <c r="Z164" s="46">
        <v>0</v>
      </c>
      <c r="AA164" s="33">
        <v>0</v>
      </c>
      <c r="AB164" s="33">
        <v>0</v>
      </c>
      <c r="AC164" s="34">
        <v>0</v>
      </c>
      <c r="AD164" s="81">
        <v>0</v>
      </c>
      <c r="AE164" s="81">
        <v>0</v>
      </c>
      <c r="AF164" s="82">
        <v>0</v>
      </c>
      <c r="AG164" s="82">
        <v>0</v>
      </c>
      <c r="AH164" s="82"/>
      <c r="AI164" s="86">
        <v>5014.1499999999996</v>
      </c>
      <c r="AJ164" s="86">
        <v>0</v>
      </c>
      <c r="AK164" s="34"/>
      <c r="AL164" s="10"/>
      <c r="AM164" s="10"/>
      <c r="AN164" s="10"/>
      <c r="AO164" s="10"/>
    </row>
    <row r="165" spans="3:41" hidden="1" x14ac:dyDescent="0.25">
      <c r="C165" t="s">
        <v>129</v>
      </c>
      <c r="D165" s="32" t="s">
        <v>72</v>
      </c>
      <c r="E165" s="81"/>
      <c r="F165" s="81"/>
      <c r="G165" s="82"/>
      <c r="H165" s="82"/>
      <c r="I165" s="81"/>
      <c r="J165" s="81"/>
      <c r="K165" s="82"/>
      <c r="L165" s="82"/>
      <c r="M165" s="81"/>
      <c r="N165" s="81"/>
      <c r="O165" s="82">
        <v>0</v>
      </c>
      <c r="P165" s="82"/>
      <c r="Q165" s="81"/>
      <c r="R165" s="81"/>
      <c r="S165" s="82">
        <v>0</v>
      </c>
      <c r="T165" s="82"/>
      <c r="U165" s="46"/>
      <c r="V165" s="46"/>
      <c r="W165" s="33">
        <v>0</v>
      </c>
      <c r="X165" s="33">
        <v>0</v>
      </c>
      <c r="Y165" s="46">
        <v>0</v>
      </c>
      <c r="Z165" s="46">
        <v>0</v>
      </c>
      <c r="AA165" s="33">
        <v>0</v>
      </c>
      <c r="AB165" s="33">
        <v>0</v>
      </c>
      <c r="AC165" s="34">
        <v>0</v>
      </c>
      <c r="AD165" s="81">
        <v>0</v>
      </c>
      <c r="AE165" s="81">
        <v>0</v>
      </c>
      <c r="AF165" s="82">
        <v>0</v>
      </c>
      <c r="AG165" s="82">
        <v>0</v>
      </c>
      <c r="AH165" s="82"/>
      <c r="AI165" s="86">
        <v>7660.56</v>
      </c>
      <c r="AJ165" s="86">
        <v>0</v>
      </c>
      <c r="AK165" s="34"/>
      <c r="AL165" s="10"/>
      <c r="AM165" s="10"/>
      <c r="AN165" s="10"/>
      <c r="AO165" s="10"/>
    </row>
    <row r="166" spans="3:41" hidden="1" x14ac:dyDescent="0.25">
      <c r="C166" t="s">
        <v>23</v>
      </c>
      <c r="D166" s="32" t="s">
        <v>61</v>
      </c>
      <c r="E166" s="81"/>
      <c r="F166" s="81"/>
      <c r="G166" s="82"/>
      <c r="H166" s="82"/>
      <c r="I166" s="81"/>
      <c r="J166" s="81"/>
      <c r="K166" s="82"/>
      <c r="L166" s="82"/>
      <c r="M166" s="81"/>
      <c r="N166" s="81"/>
      <c r="O166" s="82">
        <v>0</v>
      </c>
      <c r="P166" s="82"/>
      <c r="Q166" s="81"/>
      <c r="R166" s="81"/>
      <c r="S166" s="82">
        <v>0</v>
      </c>
      <c r="T166" s="82"/>
      <c r="U166" s="46"/>
      <c r="V166" s="46"/>
      <c r="W166" s="33">
        <v>0</v>
      </c>
      <c r="X166" s="33">
        <v>0</v>
      </c>
      <c r="Y166" s="46">
        <v>0</v>
      </c>
      <c r="Z166" s="46">
        <v>0</v>
      </c>
      <c r="AA166" s="33">
        <v>0</v>
      </c>
      <c r="AB166" s="33">
        <v>0</v>
      </c>
      <c r="AC166" s="34">
        <v>0</v>
      </c>
      <c r="AD166" s="81">
        <v>0</v>
      </c>
      <c r="AE166" s="81">
        <v>0</v>
      </c>
      <c r="AF166" s="82">
        <v>0</v>
      </c>
      <c r="AG166" s="82">
        <v>0</v>
      </c>
      <c r="AH166" s="82"/>
      <c r="AI166" s="86">
        <f>11567.57-75</f>
        <v>11492.57</v>
      </c>
      <c r="AJ166" s="86">
        <v>0</v>
      </c>
      <c r="AK166" s="34"/>
      <c r="AL166" s="10"/>
      <c r="AM166" s="10"/>
      <c r="AN166" s="10"/>
      <c r="AO166" s="10"/>
    </row>
    <row r="167" spans="3:41" hidden="1" x14ac:dyDescent="0.25">
      <c r="C167" t="s">
        <v>118</v>
      </c>
      <c r="D167" s="32" t="s">
        <v>39</v>
      </c>
      <c r="E167" s="81"/>
      <c r="F167" s="81"/>
      <c r="G167" s="82"/>
      <c r="H167" s="82"/>
      <c r="I167" s="81"/>
      <c r="J167" s="81"/>
      <c r="K167" s="82"/>
      <c r="L167" s="82"/>
      <c r="M167" s="81"/>
      <c r="N167" s="81"/>
      <c r="O167" s="82">
        <v>0</v>
      </c>
      <c r="P167" s="82"/>
      <c r="Q167" s="81"/>
      <c r="R167" s="81"/>
      <c r="S167" s="82">
        <v>0</v>
      </c>
      <c r="T167" s="82"/>
      <c r="U167" s="46"/>
      <c r="V167" s="46"/>
      <c r="W167" s="33">
        <v>0</v>
      </c>
      <c r="X167" s="33">
        <v>0</v>
      </c>
      <c r="Y167" s="46">
        <v>0</v>
      </c>
      <c r="Z167" s="46">
        <v>0</v>
      </c>
      <c r="AA167" s="33">
        <v>0</v>
      </c>
      <c r="AB167" s="33">
        <v>0</v>
      </c>
      <c r="AC167" s="34">
        <v>0</v>
      </c>
      <c r="AD167" s="81">
        <v>0</v>
      </c>
      <c r="AE167" s="81">
        <v>0</v>
      </c>
      <c r="AF167" s="82">
        <v>0</v>
      </c>
      <c r="AG167" s="82">
        <v>0</v>
      </c>
      <c r="AH167" s="82"/>
      <c r="AI167" s="86">
        <v>605</v>
      </c>
      <c r="AJ167" s="86">
        <v>0</v>
      </c>
      <c r="AK167" s="34"/>
      <c r="AL167" s="10"/>
      <c r="AM167" s="10"/>
      <c r="AN167" s="10"/>
      <c r="AO167" s="10"/>
    </row>
    <row r="168" spans="3:41" hidden="1" x14ac:dyDescent="0.25">
      <c r="C168" t="s">
        <v>114</v>
      </c>
      <c r="D168" s="32" t="s">
        <v>110</v>
      </c>
      <c r="E168" s="81"/>
      <c r="F168" s="81"/>
      <c r="G168" s="82"/>
      <c r="H168" s="82"/>
      <c r="I168" s="81"/>
      <c r="J168" s="81"/>
      <c r="K168" s="82"/>
      <c r="L168" s="82"/>
      <c r="M168" s="81"/>
      <c r="N168" s="81"/>
      <c r="O168" s="82">
        <v>0</v>
      </c>
      <c r="P168" s="82"/>
      <c r="Q168" s="81"/>
      <c r="R168" s="81"/>
      <c r="S168" s="82">
        <v>0</v>
      </c>
      <c r="T168" s="82"/>
      <c r="U168" s="46"/>
      <c r="V168" s="46"/>
      <c r="W168" s="33">
        <v>0</v>
      </c>
      <c r="X168" s="33">
        <v>0</v>
      </c>
      <c r="Y168" s="46">
        <v>0</v>
      </c>
      <c r="Z168" s="46">
        <v>0</v>
      </c>
      <c r="AA168" s="33">
        <v>0</v>
      </c>
      <c r="AB168" s="33">
        <v>0</v>
      </c>
      <c r="AC168" s="34">
        <v>0</v>
      </c>
      <c r="AD168" s="81">
        <v>0</v>
      </c>
      <c r="AE168" s="81">
        <v>0</v>
      </c>
      <c r="AF168" s="82">
        <v>0</v>
      </c>
      <c r="AG168" s="82">
        <v>0</v>
      </c>
      <c r="AH168" s="82"/>
      <c r="AI168" s="86">
        <v>126</v>
      </c>
      <c r="AJ168" s="86">
        <v>0</v>
      </c>
      <c r="AK168" s="34"/>
      <c r="AL168" s="10"/>
      <c r="AM168" s="10"/>
      <c r="AN168" s="10"/>
      <c r="AO168" s="10"/>
    </row>
    <row r="169" spans="3:41" hidden="1" x14ac:dyDescent="0.25">
      <c r="C169" t="s">
        <v>112</v>
      </c>
      <c r="D169" s="32" t="s">
        <v>78</v>
      </c>
      <c r="E169" s="81"/>
      <c r="F169" s="81"/>
      <c r="G169" s="82"/>
      <c r="H169" s="82"/>
      <c r="I169" s="81"/>
      <c r="J169" s="81"/>
      <c r="K169" s="82"/>
      <c r="L169" s="82"/>
      <c r="M169" s="81"/>
      <c r="N169" s="81"/>
      <c r="O169" s="82">
        <v>0</v>
      </c>
      <c r="P169" s="82"/>
      <c r="Q169" s="81"/>
      <c r="R169" s="81"/>
      <c r="S169" s="82">
        <v>0</v>
      </c>
      <c r="T169" s="82"/>
      <c r="U169" s="46"/>
      <c r="V169" s="46"/>
      <c r="W169" s="33">
        <v>0</v>
      </c>
      <c r="X169" s="33">
        <v>0</v>
      </c>
      <c r="Y169" s="46">
        <v>0</v>
      </c>
      <c r="Z169" s="46">
        <v>0</v>
      </c>
      <c r="AA169" s="33">
        <v>0</v>
      </c>
      <c r="AB169" s="33">
        <v>0</v>
      </c>
      <c r="AC169" s="34">
        <v>0</v>
      </c>
      <c r="AD169" s="81">
        <v>0</v>
      </c>
      <c r="AE169" s="81">
        <v>0</v>
      </c>
      <c r="AF169" s="82">
        <v>0</v>
      </c>
      <c r="AG169" s="82">
        <v>0</v>
      </c>
      <c r="AH169" s="74"/>
      <c r="AI169" s="86">
        <v>2728.93</v>
      </c>
      <c r="AJ169" s="86">
        <v>0</v>
      </c>
      <c r="AK169" s="87"/>
    </row>
    <row r="170" spans="3:41" hidden="1" x14ac:dyDescent="0.25">
      <c r="C170" t="s">
        <v>79</v>
      </c>
      <c r="D170" s="32" t="s">
        <v>4</v>
      </c>
      <c r="E170" s="81"/>
      <c r="F170" s="81"/>
      <c r="G170" s="82"/>
      <c r="H170" s="82"/>
      <c r="I170" s="81"/>
      <c r="J170" s="81"/>
      <c r="K170" s="82"/>
      <c r="L170" s="82"/>
      <c r="M170" s="81"/>
      <c r="N170" s="81"/>
      <c r="O170" s="82">
        <v>0</v>
      </c>
      <c r="P170" s="82"/>
      <c r="Q170" s="81"/>
      <c r="R170" s="81"/>
      <c r="S170" s="82">
        <v>0</v>
      </c>
      <c r="T170" s="82"/>
      <c r="U170" s="46"/>
      <c r="V170" s="46"/>
      <c r="W170" s="33">
        <v>0</v>
      </c>
      <c r="X170" s="33">
        <v>0</v>
      </c>
      <c r="Y170" s="46">
        <v>0</v>
      </c>
      <c r="Z170" s="46">
        <v>0</v>
      </c>
      <c r="AA170" s="33">
        <v>0</v>
      </c>
      <c r="AB170" s="33">
        <v>0</v>
      </c>
      <c r="AC170" s="34">
        <v>0</v>
      </c>
      <c r="AD170" s="81">
        <v>0</v>
      </c>
      <c r="AE170" s="81">
        <v>0</v>
      </c>
      <c r="AF170" s="82">
        <v>0</v>
      </c>
      <c r="AG170" s="82">
        <v>0</v>
      </c>
      <c r="AH170" s="74"/>
      <c r="AI170" s="86">
        <v>6284.58</v>
      </c>
      <c r="AJ170" s="86">
        <v>32133.61</v>
      </c>
      <c r="AK170" s="87"/>
    </row>
    <row r="171" spans="3:41" hidden="1" x14ac:dyDescent="0.25">
      <c r="C171" t="s">
        <v>91</v>
      </c>
      <c r="D171" s="32" t="s">
        <v>42</v>
      </c>
      <c r="E171" s="81"/>
      <c r="F171" s="81"/>
      <c r="G171" s="82"/>
      <c r="H171" s="82"/>
      <c r="I171" s="81"/>
      <c r="J171" s="81"/>
      <c r="K171" s="82"/>
      <c r="L171" s="82"/>
      <c r="M171" s="81"/>
      <c r="N171" s="81"/>
      <c r="O171" s="82">
        <v>0</v>
      </c>
      <c r="P171" s="82"/>
      <c r="Q171" s="81"/>
      <c r="R171" s="81"/>
      <c r="S171" s="82">
        <v>0</v>
      </c>
      <c r="T171" s="82"/>
      <c r="U171" s="46"/>
      <c r="V171" s="46"/>
      <c r="W171" s="33">
        <v>0</v>
      </c>
      <c r="X171" s="33">
        <v>0</v>
      </c>
      <c r="Y171" s="46">
        <v>0</v>
      </c>
      <c r="Z171" s="46">
        <v>0</v>
      </c>
      <c r="AA171" s="33">
        <v>0</v>
      </c>
      <c r="AB171" s="33">
        <v>0</v>
      </c>
      <c r="AC171" s="34">
        <v>0</v>
      </c>
      <c r="AD171" s="81">
        <v>0</v>
      </c>
      <c r="AE171" s="81">
        <v>0</v>
      </c>
      <c r="AF171" s="82">
        <v>0</v>
      </c>
      <c r="AG171" s="82">
        <v>0</v>
      </c>
      <c r="AH171" s="74"/>
      <c r="AI171" s="86">
        <v>207</v>
      </c>
      <c r="AJ171" s="86">
        <v>414</v>
      </c>
      <c r="AK171" s="87"/>
    </row>
    <row r="172" spans="3:41" hidden="1" x14ac:dyDescent="0.25">
      <c r="C172" s="2" t="s">
        <v>176</v>
      </c>
      <c r="D172" s="32" t="s">
        <v>48</v>
      </c>
      <c r="E172" s="81"/>
      <c r="F172" s="81"/>
      <c r="G172" s="82"/>
      <c r="H172" s="82"/>
      <c r="I172" s="81"/>
      <c r="J172" s="81"/>
      <c r="K172" s="82"/>
      <c r="L172" s="82"/>
      <c r="M172" s="81"/>
      <c r="N172" s="81"/>
      <c r="O172" s="82">
        <v>0</v>
      </c>
      <c r="P172" s="82"/>
      <c r="Q172" s="81"/>
      <c r="R172" s="81"/>
      <c r="S172" s="82">
        <v>0</v>
      </c>
      <c r="T172" s="82"/>
      <c r="U172" s="46"/>
      <c r="V172" s="46"/>
      <c r="W172" s="33">
        <v>0</v>
      </c>
      <c r="X172" s="33">
        <v>0</v>
      </c>
      <c r="Y172" s="46">
        <v>0</v>
      </c>
      <c r="Z172" s="46">
        <v>8338.2000000000007</v>
      </c>
      <c r="AA172" s="33">
        <v>0</v>
      </c>
      <c r="AB172" s="33">
        <v>0</v>
      </c>
      <c r="AC172" s="34"/>
      <c r="AD172" s="81">
        <v>0</v>
      </c>
      <c r="AE172" s="81">
        <v>0</v>
      </c>
      <c r="AF172" s="82">
        <v>0</v>
      </c>
      <c r="AG172" s="82">
        <v>0</v>
      </c>
      <c r="AH172" s="74"/>
      <c r="AI172" s="86">
        <v>0</v>
      </c>
      <c r="AJ172" s="86">
        <v>0</v>
      </c>
      <c r="AK172" s="87"/>
    </row>
    <row r="173" spans="3:41" hidden="1" x14ac:dyDescent="0.25">
      <c r="C173" s="2" t="s">
        <v>177</v>
      </c>
      <c r="D173" s="32" t="s">
        <v>48</v>
      </c>
      <c r="E173" s="81"/>
      <c r="F173" s="81"/>
      <c r="G173" s="82"/>
      <c r="H173" s="82"/>
      <c r="I173" s="81"/>
      <c r="J173" s="81"/>
      <c r="K173" s="82"/>
      <c r="L173" s="82"/>
      <c r="M173" s="81"/>
      <c r="N173" s="81"/>
      <c r="O173" s="82">
        <v>0</v>
      </c>
      <c r="P173" s="82"/>
      <c r="Q173" s="81"/>
      <c r="R173" s="81"/>
      <c r="S173" s="82">
        <v>0</v>
      </c>
      <c r="T173" s="82"/>
      <c r="U173" s="46"/>
      <c r="V173" s="46"/>
      <c r="W173" s="33">
        <v>0</v>
      </c>
      <c r="X173" s="33">
        <v>0</v>
      </c>
      <c r="Y173" s="46">
        <v>0</v>
      </c>
      <c r="Z173" s="92">
        <v>3631.41</v>
      </c>
      <c r="AA173" s="33">
        <v>0</v>
      </c>
      <c r="AB173" s="33">
        <v>0</v>
      </c>
      <c r="AC173" s="34"/>
      <c r="AD173" s="81">
        <v>0</v>
      </c>
      <c r="AE173" s="81">
        <v>0</v>
      </c>
      <c r="AF173" s="82">
        <v>0</v>
      </c>
      <c r="AG173" s="82">
        <v>0</v>
      </c>
      <c r="AH173" s="74"/>
      <c r="AI173" s="86">
        <v>0</v>
      </c>
      <c r="AJ173" s="86">
        <v>0</v>
      </c>
      <c r="AK173" s="87"/>
    </row>
    <row r="174" spans="3:41" hidden="1" x14ac:dyDescent="0.25">
      <c r="C174" t="s">
        <v>99</v>
      </c>
      <c r="D174" s="32" t="s">
        <v>48</v>
      </c>
      <c r="E174" s="81"/>
      <c r="F174" s="81"/>
      <c r="G174" s="82"/>
      <c r="H174" s="82"/>
      <c r="I174" s="81"/>
      <c r="J174" s="81"/>
      <c r="K174" s="82"/>
      <c r="L174" s="82"/>
      <c r="M174" s="81"/>
      <c r="N174" s="81"/>
      <c r="O174" s="82">
        <v>0</v>
      </c>
      <c r="P174" s="82"/>
      <c r="Q174" s="81"/>
      <c r="R174" s="81"/>
      <c r="S174" s="82">
        <v>0</v>
      </c>
      <c r="T174" s="82"/>
      <c r="U174" s="46"/>
      <c r="V174" s="46"/>
      <c r="W174" s="33">
        <v>0</v>
      </c>
      <c r="X174" s="33">
        <v>0</v>
      </c>
      <c r="Y174" s="46">
        <v>0</v>
      </c>
      <c r="Z174" s="46">
        <v>0</v>
      </c>
      <c r="AA174" s="33">
        <v>0</v>
      </c>
      <c r="AB174" s="33">
        <v>0</v>
      </c>
      <c r="AC174" s="34">
        <v>0</v>
      </c>
      <c r="AD174" s="81">
        <v>0</v>
      </c>
      <c r="AE174" s="81">
        <v>0</v>
      </c>
      <c r="AF174" s="82">
        <v>0</v>
      </c>
      <c r="AG174" s="82">
        <v>0</v>
      </c>
      <c r="AH174" s="74"/>
      <c r="AI174" s="86">
        <v>0</v>
      </c>
      <c r="AJ174" s="86">
        <v>35</v>
      </c>
      <c r="AK174" s="87"/>
    </row>
    <row r="175" spans="3:41" hidden="1" x14ac:dyDescent="0.25">
      <c r="D175" s="32"/>
      <c r="E175" s="81"/>
      <c r="F175" s="81"/>
      <c r="G175" s="82"/>
      <c r="H175" s="82"/>
      <c r="I175" s="81"/>
      <c r="J175" s="81"/>
      <c r="K175" s="82"/>
      <c r="L175" s="82"/>
      <c r="M175" s="81"/>
      <c r="N175" s="81"/>
      <c r="O175" s="82"/>
      <c r="P175" s="82"/>
      <c r="Q175" s="81"/>
      <c r="R175" s="81"/>
      <c r="S175" s="82"/>
      <c r="T175" s="82"/>
      <c r="U175" s="46"/>
      <c r="V175" s="46"/>
      <c r="W175" s="33"/>
      <c r="X175" s="33"/>
      <c r="Y175" s="133"/>
      <c r="Z175" s="133"/>
      <c r="AA175" s="33"/>
      <c r="AB175" s="33"/>
      <c r="AC175" s="34"/>
      <c r="AD175" s="81"/>
      <c r="AE175" s="81"/>
      <c r="AF175" s="82"/>
      <c r="AG175" s="82"/>
      <c r="AH175" s="74"/>
      <c r="AI175" s="86"/>
      <c r="AJ175" s="86"/>
      <c r="AK175" s="87"/>
    </row>
    <row r="176" spans="3:41" s="110" customFormat="1" x14ac:dyDescent="0.25">
      <c r="C176" s="134" t="s">
        <v>730</v>
      </c>
      <c r="D176" s="154"/>
      <c r="E176" s="134">
        <f t="shared" ref="E176:P176" si="69">E151+E143+E133+E108+E104+E99+E94+E72+E44+E5</f>
        <v>0</v>
      </c>
      <c r="F176" s="134">
        <f t="shared" si="69"/>
        <v>0</v>
      </c>
      <c r="G176" s="114">
        <f t="shared" si="69"/>
        <v>280514.57364249998</v>
      </c>
      <c r="H176" s="114">
        <f t="shared" si="69"/>
        <v>287806.8</v>
      </c>
      <c r="I176" s="134">
        <f t="shared" si="69"/>
        <v>246311.97999999998</v>
      </c>
      <c r="J176" s="134">
        <f t="shared" si="69"/>
        <v>284814.25</v>
      </c>
      <c r="K176" s="114">
        <f t="shared" si="69"/>
        <v>260997.46346666664</v>
      </c>
      <c r="L176" s="114">
        <f t="shared" si="69"/>
        <v>266190</v>
      </c>
      <c r="M176" s="134">
        <f t="shared" si="69"/>
        <v>248529.50000000003</v>
      </c>
      <c r="N176" s="134">
        <f t="shared" si="69"/>
        <v>253292.6</v>
      </c>
      <c r="O176" s="114">
        <f t="shared" si="69"/>
        <v>237854.15</v>
      </c>
      <c r="P176" s="114">
        <f t="shared" si="69"/>
        <v>238815</v>
      </c>
      <c r="Q176" s="134">
        <f>Q5+Q44+Q72+Q94+Q99+Q104+Q108+Q133+Q143+Q151+Q157</f>
        <v>213065.85</v>
      </c>
      <c r="R176" s="134">
        <f>R5+R44+R72+R94+R99+R104+R108+R133+R143+R151+R157</f>
        <v>202711</v>
      </c>
      <c r="S176" s="114">
        <v>211014.65</v>
      </c>
      <c r="T176" s="114">
        <v>242460</v>
      </c>
      <c r="U176" s="135">
        <v>174626.31</v>
      </c>
      <c r="V176" s="135">
        <v>217884.49</v>
      </c>
      <c r="W176" s="136">
        <v>201643.34333333335</v>
      </c>
      <c r="X176" s="136">
        <v>211762</v>
      </c>
      <c r="Y176" s="137">
        <v>271312.54000000004</v>
      </c>
      <c r="Z176" s="137">
        <v>259825</v>
      </c>
      <c r="AA176" s="136"/>
      <c r="AB176" s="136"/>
      <c r="AC176" s="138"/>
      <c r="AD176" s="134"/>
      <c r="AE176" s="134"/>
      <c r="AF176" s="114"/>
      <c r="AG176" s="114"/>
      <c r="AH176" s="139"/>
      <c r="AI176" s="140"/>
      <c r="AJ176" s="140"/>
      <c r="AK176" s="108"/>
    </row>
    <row r="177" spans="1:42" s="110" customFormat="1" x14ac:dyDescent="0.25">
      <c r="D177" s="154"/>
      <c r="E177" s="134"/>
      <c r="F177" s="134">
        <f>F176-E176</f>
        <v>0</v>
      </c>
      <c r="G177" s="114"/>
      <c r="H177" s="114">
        <f>H176-G176</f>
        <v>7292.2263575000106</v>
      </c>
      <c r="I177" s="134"/>
      <c r="J177" s="134">
        <f>J176-I176</f>
        <v>38502.270000000019</v>
      </c>
      <c r="K177" s="114"/>
      <c r="L177" s="114">
        <f>L176-K176</f>
        <v>5192.5365333333611</v>
      </c>
      <c r="M177" s="134"/>
      <c r="N177" s="134">
        <f>N176-M176</f>
        <v>4763.0999999999767</v>
      </c>
      <c r="O177" s="114"/>
      <c r="P177" s="114">
        <f>P176-O176</f>
        <v>960.85000000000582</v>
      </c>
      <c r="Q177" s="134"/>
      <c r="R177" s="134">
        <f>R176-Q176</f>
        <v>-10354.850000000006</v>
      </c>
      <c r="S177" s="114"/>
      <c r="T177" s="114">
        <v>31445.350000000006</v>
      </c>
      <c r="U177" s="135"/>
      <c r="V177" s="135">
        <v>43258.179999999993</v>
      </c>
      <c r="W177" s="136"/>
      <c r="X177" s="136">
        <v>10118.656666666648</v>
      </c>
      <c r="Y177" s="137"/>
      <c r="Z177" s="137">
        <v>-11487.540000000037</v>
      </c>
      <c r="AA177" s="136"/>
      <c r="AB177" s="136"/>
      <c r="AC177" s="138"/>
      <c r="AD177" s="134"/>
      <c r="AE177" s="134"/>
      <c r="AF177" s="114"/>
      <c r="AG177" s="114"/>
      <c r="AH177" s="139"/>
      <c r="AI177" s="140"/>
      <c r="AJ177" s="140"/>
      <c r="AK177" s="108"/>
    </row>
    <row r="178" spans="1:42" x14ac:dyDescent="0.25">
      <c r="D178" s="32"/>
      <c r="E178" s="81"/>
      <c r="F178" s="81"/>
      <c r="G178" s="82"/>
      <c r="H178" s="82"/>
      <c r="I178" s="81"/>
      <c r="J178" s="81"/>
      <c r="K178" s="82"/>
      <c r="L178" s="82"/>
      <c r="M178" s="81"/>
      <c r="N178" s="81"/>
      <c r="O178" s="82"/>
      <c r="P178" s="82"/>
      <c r="Q178" s="81"/>
      <c r="R178" s="81"/>
      <c r="S178" s="82"/>
      <c r="T178" s="82"/>
      <c r="U178" s="46"/>
      <c r="V178" s="46"/>
      <c r="W178" s="33"/>
      <c r="X178" s="33"/>
      <c r="Y178" s="42"/>
      <c r="Z178" s="42"/>
      <c r="AA178" s="33"/>
      <c r="AB178" s="33"/>
      <c r="AC178" s="34"/>
      <c r="AD178" s="81"/>
      <c r="AE178" s="81"/>
      <c r="AF178" s="82"/>
      <c r="AG178" s="82"/>
      <c r="AH178" s="74"/>
      <c r="AI178" s="34"/>
      <c r="AJ178" s="34"/>
      <c r="AK178" s="87"/>
    </row>
    <row r="179" spans="1:42" x14ac:dyDescent="0.25">
      <c r="A179" s="3">
        <v>17</v>
      </c>
      <c r="B179" s="14"/>
      <c r="C179" s="157" t="s">
        <v>756</v>
      </c>
      <c r="D179" s="150"/>
      <c r="E179" s="78">
        <v>0</v>
      </c>
      <c r="F179" s="78">
        <v>0</v>
      </c>
      <c r="G179" s="79">
        <f>SUM(G181:G184)</f>
        <v>0</v>
      </c>
      <c r="H179" s="79">
        <f>H183</f>
        <v>0</v>
      </c>
      <c r="I179" s="78">
        <v>0</v>
      </c>
      <c r="J179" s="78">
        <v>0</v>
      </c>
      <c r="K179" s="79">
        <f>SUM(K181:K184)</f>
        <v>7500</v>
      </c>
      <c r="L179" s="79">
        <f>L183</f>
        <v>0</v>
      </c>
      <c r="M179" s="78">
        <v>7435</v>
      </c>
      <c r="N179" s="78">
        <v>0</v>
      </c>
      <c r="O179" s="79">
        <f>SUM(O181:O184)</f>
        <v>0</v>
      </c>
      <c r="P179" s="79">
        <f>P183</f>
        <v>0</v>
      </c>
      <c r="Q179" s="78">
        <f>Q183</f>
        <v>0</v>
      </c>
      <c r="R179" s="78">
        <f>R183</f>
        <v>2541</v>
      </c>
      <c r="S179" s="79">
        <v>0</v>
      </c>
      <c r="T179" s="79">
        <f>T183</f>
        <v>12221</v>
      </c>
      <c r="U179" s="45">
        <f>U183</f>
        <v>2541</v>
      </c>
      <c r="V179" s="45">
        <f>0</f>
        <v>0</v>
      </c>
      <c r="W179" s="31">
        <v>0</v>
      </c>
      <c r="X179" s="31">
        <v>0</v>
      </c>
      <c r="Y179" s="45">
        <f>SUM(Y183:Y187)</f>
        <v>140552.22</v>
      </c>
      <c r="Z179" s="45">
        <f>SUM(Z183:Z187)</f>
        <v>324875.14</v>
      </c>
      <c r="AA179" s="31">
        <f>SUM(AA183:AA187)</f>
        <v>172567.54000000004</v>
      </c>
      <c r="AB179" s="31">
        <f>SUM(AB183:AB187)</f>
        <v>347082.45999999996</v>
      </c>
      <c r="AC179" s="34"/>
      <c r="AD179" s="81"/>
      <c r="AE179" s="81"/>
      <c r="AF179" s="82"/>
      <c r="AG179" s="82"/>
      <c r="AH179" s="74"/>
      <c r="AI179" s="34"/>
      <c r="AJ179" s="34"/>
      <c r="AK179" s="87"/>
      <c r="AP179" s="103"/>
    </row>
    <row r="180" spans="1:42" x14ac:dyDescent="0.25">
      <c r="A180" s="4"/>
      <c r="B180" s="4"/>
      <c r="C180" s="4"/>
      <c r="D180" s="151"/>
      <c r="E180" s="78"/>
      <c r="F180" s="78">
        <f>F179-E179</f>
        <v>0</v>
      </c>
      <c r="G180" s="79"/>
      <c r="H180" s="79">
        <f>H179-G179</f>
        <v>0</v>
      </c>
      <c r="I180" s="78"/>
      <c r="J180" s="78">
        <f>J179-I179</f>
        <v>0</v>
      </c>
      <c r="K180" s="79"/>
      <c r="L180" s="79">
        <f>L179-K179</f>
        <v>-7500</v>
      </c>
      <c r="M180" s="78"/>
      <c r="N180" s="78">
        <f>N179-M179</f>
        <v>-7435</v>
      </c>
      <c r="O180" s="79"/>
      <c r="P180" s="79">
        <f>P179-O179</f>
        <v>0</v>
      </c>
      <c r="Q180" s="78"/>
      <c r="R180" s="78">
        <f>R179-Q179</f>
        <v>2541</v>
      </c>
      <c r="S180" s="79"/>
      <c r="T180" s="79">
        <f>T179-S179</f>
        <v>12221</v>
      </c>
      <c r="U180" s="46"/>
      <c r="V180" s="45">
        <f>V179-U179</f>
        <v>-2541</v>
      </c>
      <c r="W180" s="31"/>
      <c r="X180" s="31">
        <f>X179-W179</f>
        <v>0</v>
      </c>
      <c r="Y180" s="45"/>
      <c r="Z180" s="45">
        <f>Z179-Y179</f>
        <v>184322.92</v>
      </c>
      <c r="AA180" s="31"/>
      <c r="AB180" s="31">
        <f>AB179-AA179</f>
        <v>174514.91999999993</v>
      </c>
      <c r="AC180" s="34"/>
      <c r="AD180" s="81"/>
      <c r="AE180" s="81"/>
      <c r="AF180" s="82"/>
      <c r="AG180" s="82"/>
      <c r="AH180" s="74"/>
      <c r="AI180" s="34"/>
      <c r="AJ180" s="34"/>
      <c r="AK180" s="87"/>
      <c r="AP180" s="103"/>
    </row>
    <row r="181" spans="1:42" x14ac:dyDescent="0.25">
      <c r="A181" s="16"/>
      <c r="B181" s="16"/>
      <c r="C181" s="16"/>
      <c r="D181" s="155"/>
      <c r="E181" s="78"/>
      <c r="F181" s="78"/>
      <c r="G181" s="79"/>
      <c r="H181" s="79"/>
      <c r="I181" s="78"/>
      <c r="J181" s="78"/>
      <c r="K181" s="79"/>
      <c r="L181" s="79"/>
      <c r="M181" s="78"/>
      <c r="N181" s="78"/>
      <c r="O181" s="79"/>
      <c r="P181" s="79"/>
      <c r="Q181" s="78"/>
      <c r="R181" s="78"/>
      <c r="S181" s="79"/>
      <c r="T181" s="79"/>
      <c r="U181" s="46"/>
      <c r="V181" s="45"/>
      <c r="W181" s="31"/>
      <c r="X181" s="31"/>
      <c r="Y181" s="132"/>
      <c r="Z181" s="132"/>
      <c r="AA181" s="31"/>
      <c r="AB181" s="31"/>
      <c r="AC181" s="34"/>
      <c r="AD181" s="81"/>
      <c r="AE181" s="81"/>
      <c r="AF181" s="82"/>
      <c r="AG181" s="82"/>
      <c r="AH181" s="74"/>
      <c r="AI181" s="34"/>
      <c r="AJ181" s="34"/>
      <c r="AK181" s="87"/>
      <c r="AP181" s="103"/>
    </row>
    <row r="182" spans="1:42" x14ac:dyDescent="0.25">
      <c r="A182" s="16"/>
      <c r="B182" s="16"/>
      <c r="C182" s="16"/>
      <c r="D182" s="155"/>
      <c r="E182" s="78"/>
      <c r="F182" s="78"/>
      <c r="G182" s="79"/>
      <c r="H182" s="79"/>
      <c r="I182" s="78"/>
      <c r="J182" s="78"/>
      <c r="K182" s="79"/>
      <c r="L182" s="79"/>
      <c r="M182" s="78"/>
      <c r="N182" s="78"/>
      <c r="O182" s="79"/>
      <c r="P182" s="79"/>
      <c r="Q182" s="78"/>
      <c r="R182" s="78"/>
      <c r="S182" s="79"/>
      <c r="T182" s="79"/>
      <c r="U182" s="46"/>
      <c r="V182" s="45"/>
      <c r="W182" s="31"/>
      <c r="X182" s="31"/>
      <c r="Y182" s="132"/>
      <c r="Z182" s="132"/>
      <c r="AA182" s="31"/>
      <c r="AB182" s="31"/>
      <c r="AC182" s="34"/>
      <c r="AD182" s="81"/>
      <c r="AE182" s="81"/>
      <c r="AF182" s="82"/>
      <c r="AG182" s="82"/>
      <c r="AH182" s="74"/>
      <c r="AI182" s="34"/>
      <c r="AJ182" s="34"/>
      <c r="AK182" s="87"/>
      <c r="AP182" s="103"/>
    </row>
    <row r="183" spans="1:42" x14ac:dyDescent="0.25">
      <c r="C183" s="103" t="s">
        <v>221</v>
      </c>
      <c r="D183" s="32">
        <v>6131600</v>
      </c>
      <c r="E183" s="81"/>
      <c r="F183" s="81"/>
      <c r="G183" s="82"/>
      <c r="H183" s="82"/>
      <c r="I183" s="81"/>
      <c r="J183" s="81"/>
      <c r="K183" s="82">
        <v>7500</v>
      </c>
      <c r="L183" s="82"/>
      <c r="M183" s="81">
        <v>7435</v>
      </c>
      <c r="N183" s="81"/>
      <c r="O183" s="82">
        <v>0</v>
      </c>
      <c r="P183" s="82"/>
      <c r="Q183" s="81"/>
      <c r="R183" s="81">
        <v>2541</v>
      </c>
      <c r="S183" s="82"/>
      <c r="T183" s="82">
        <f>(2541+9680)</f>
        <v>12221</v>
      </c>
      <c r="U183" s="46">
        <v>2541</v>
      </c>
      <c r="V183" s="46"/>
      <c r="W183" s="33"/>
      <c r="X183" s="33"/>
      <c r="Y183" s="42"/>
      <c r="Z183" s="42"/>
      <c r="AA183" s="33"/>
      <c r="AB183" s="33"/>
      <c r="AC183" s="34"/>
      <c r="AD183" s="81"/>
      <c r="AE183" s="81"/>
      <c r="AF183" s="82"/>
      <c r="AG183" s="82"/>
      <c r="AH183" s="74"/>
      <c r="AI183" s="34"/>
      <c r="AJ183" s="34"/>
      <c r="AK183" s="87"/>
      <c r="AP183" s="103"/>
    </row>
    <row r="184" spans="1:42" x14ac:dyDescent="0.25">
      <c r="C184" s="103"/>
      <c r="D184" s="32"/>
      <c r="E184" s="81"/>
      <c r="F184" s="81"/>
      <c r="G184" s="82"/>
      <c r="H184" s="82"/>
      <c r="I184" s="81"/>
      <c r="J184" s="81"/>
      <c r="K184" s="82"/>
      <c r="L184" s="82"/>
      <c r="M184" s="81"/>
      <c r="N184" s="81"/>
      <c r="O184" s="82"/>
      <c r="P184" s="82"/>
      <c r="Q184" s="81"/>
      <c r="R184" s="81"/>
      <c r="S184" s="82"/>
      <c r="T184" s="82"/>
      <c r="U184" s="46"/>
      <c r="V184" s="46"/>
      <c r="W184" s="33"/>
      <c r="X184" s="33"/>
      <c r="Y184" s="42"/>
      <c r="Z184" s="42"/>
      <c r="AA184" s="33"/>
      <c r="AB184" s="33"/>
      <c r="AC184" s="34"/>
      <c r="AD184" s="81"/>
      <c r="AE184" s="81"/>
      <c r="AF184" s="82"/>
      <c r="AG184" s="82"/>
      <c r="AH184" s="74"/>
      <c r="AI184" s="34"/>
      <c r="AJ184" s="34"/>
      <c r="AK184" s="87"/>
    </row>
    <row r="185" spans="1:42" x14ac:dyDescent="0.25">
      <c r="C185" s="15"/>
      <c r="D185" s="156"/>
      <c r="E185" s="78">
        <f t="shared" ref="E185:V185" si="70">E5+E44+E72+E94+E99+E104+E108+E120+E133+E143+E151+E179</f>
        <v>0</v>
      </c>
      <c r="F185" s="78">
        <f t="shared" si="70"/>
        <v>0</v>
      </c>
      <c r="G185" s="88">
        <f t="shared" si="70"/>
        <v>280514.57364249998</v>
      </c>
      <c r="H185" s="88">
        <f t="shared" si="70"/>
        <v>287806.80000000005</v>
      </c>
      <c r="I185" s="78">
        <f t="shared" si="70"/>
        <v>246311.98</v>
      </c>
      <c r="J185" s="78">
        <f t="shared" si="70"/>
        <v>284814.25</v>
      </c>
      <c r="K185" s="88">
        <f t="shared" si="70"/>
        <v>268497.46346666664</v>
      </c>
      <c r="L185" s="88">
        <f t="shared" si="70"/>
        <v>266190</v>
      </c>
      <c r="M185" s="78">
        <f t="shared" si="70"/>
        <v>255964.49999999994</v>
      </c>
      <c r="N185" s="78">
        <f t="shared" si="70"/>
        <v>253292.6</v>
      </c>
      <c r="O185" s="88">
        <f t="shared" si="70"/>
        <v>237854.15</v>
      </c>
      <c r="P185" s="88">
        <f t="shared" si="70"/>
        <v>238815</v>
      </c>
      <c r="Q185" s="78">
        <f t="shared" si="70"/>
        <v>213065.85</v>
      </c>
      <c r="R185" s="78">
        <f t="shared" si="70"/>
        <v>205252</v>
      </c>
      <c r="S185" s="88">
        <f t="shared" si="70"/>
        <v>211014.65</v>
      </c>
      <c r="T185" s="88">
        <f t="shared" si="70"/>
        <v>254681</v>
      </c>
      <c r="U185" s="45">
        <f t="shared" si="70"/>
        <v>177167.31</v>
      </c>
      <c r="V185" s="45">
        <f t="shared" si="70"/>
        <v>217884.49</v>
      </c>
      <c r="W185" s="31">
        <f>W5+W44+W72+W94+W99+W104+W108+W120+W133+W143+W151</f>
        <v>201643.34333333335</v>
      </c>
      <c r="X185" s="31">
        <f>X5+X44+X72+X94+X99+X104+X108+X120+X133+X143+X151</f>
        <v>211762</v>
      </c>
      <c r="Y185" s="45">
        <f>Y5+Y44+Y72+Y94+Y99+Y104+Y108+Y120+Y133+Y143+Y151</f>
        <v>140552.22</v>
      </c>
      <c r="Z185" s="45">
        <f>Z5+Z44+Z72+Z94+Z99+Z104+Z108+Z120+Z133+Z143+Z151+Z157</f>
        <v>232713.68</v>
      </c>
      <c r="AA185" s="31">
        <f t="shared" ref="AA185:AH185" si="71">AA5+AA44+AA72+AA94+AA99+AA104+AA108+AA120+AA133+AA143+AA151</f>
        <v>172567.54000000004</v>
      </c>
      <c r="AB185" s="31">
        <f t="shared" si="71"/>
        <v>259825</v>
      </c>
      <c r="AC185" s="31">
        <f t="shared" si="71"/>
        <v>0</v>
      </c>
      <c r="AD185" s="78">
        <f t="shared" si="71"/>
        <v>218297.55000000002</v>
      </c>
      <c r="AE185" s="78">
        <f t="shared" si="71"/>
        <v>192568.66000000003</v>
      </c>
      <c r="AF185" s="88">
        <f t="shared" si="71"/>
        <v>233837</v>
      </c>
      <c r="AG185" s="88">
        <f t="shared" si="71"/>
        <v>177040</v>
      </c>
      <c r="AH185" s="79">
        <f t="shared" si="71"/>
        <v>0</v>
      </c>
      <c r="AI185" s="80">
        <f>AI5+AI44+AI72+AI94+AI99+AI104+AI108+AI120+AI133+AI143+AI151+AI157</f>
        <v>385231.32</v>
      </c>
      <c r="AJ185" s="80">
        <f>AJ5+AJ44+AJ72+AJ94+AJ99+AJ104+AJ108+AJ120+AJ133+AJ143+AJ151+AJ157</f>
        <v>252456.98999999993</v>
      </c>
      <c r="AK185" s="31">
        <f>AK5+AK44+AK72+AK94+AK99+AK104+AK108+AK120+AK133+AK143+AK151</f>
        <v>96962.500000000015</v>
      </c>
      <c r="AL185" s="26">
        <f>AL5+AL44+AL72+AL94+AL99+AL104+AL108+AL120+AL133+AL143+AL151</f>
        <v>196637.42000000004</v>
      </c>
      <c r="AM185" s="6">
        <f>AM5+AM44+AM72+AM94+AM99+AM104+AM108+AM120+AM133+AM143+AM151</f>
        <v>220461.75999999998</v>
      </c>
      <c r="AN185" s="6">
        <f>AN5+AN44+AN72+AN94+AN99+AN104+AN108+AN120+AN133+AN143+AN151</f>
        <v>-23824.339999999997</v>
      </c>
      <c r="AO185" s="13" t="e">
        <f>AO5+AO44+AO72+AO94+AO99+AO104+AO108+AO120+AO133+#REF!+AO143+AO151+#REF!+#REF!</f>
        <v>#REF!</v>
      </c>
    </row>
    <row r="186" spans="1:42" x14ac:dyDescent="0.25">
      <c r="C186" s="15"/>
      <c r="D186" s="156" t="s">
        <v>142</v>
      </c>
      <c r="E186" s="78"/>
      <c r="F186" s="78">
        <f>F185-E185</f>
        <v>0</v>
      </c>
      <c r="G186" s="88"/>
      <c r="H186" s="88">
        <f>H185-G185</f>
        <v>7292.2263575000688</v>
      </c>
      <c r="I186" s="78"/>
      <c r="J186" s="78">
        <f>J185-I185</f>
        <v>38502.26999999999</v>
      </c>
      <c r="K186" s="88"/>
      <c r="L186" s="88">
        <f>L185-K185</f>
        <v>-2307.4634666666389</v>
      </c>
      <c r="M186" s="78"/>
      <c r="N186" s="78">
        <f>N185-M185</f>
        <v>-2671.899999999936</v>
      </c>
      <c r="O186" s="88"/>
      <c r="P186" s="88">
        <f>P185-O185</f>
        <v>960.85000000000582</v>
      </c>
      <c r="Q186" s="78"/>
      <c r="R186" s="78">
        <f>R185-Q185</f>
        <v>-7813.8500000000058</v>
      </c>
      <c r="S186" s="88"/>
      <c r="T186" s="88">
        <f>T185-S185</f>
        <v>43666.350000000006</v>
      </c>
      <c r="U186" s="45"/>
      <c r="V186" s="45">
        <f>V185-U185</f>
        <v>40717.179999999993</v>
      </c>
      <c r="W186" s="31"/>
      <c r="X186" s="31">
        <f>X185-W185</f>
        <v>10118.656666666648</v>
      </c>
      <c r="Y186" s="45"/>
      <c r="Z186" s="45">
        <f>Z185-Y185</f>
        <v>92161.459999999992</v>
      </c>
      <c r="AA186" s="31"/>
      <c r="AB186" s="31">
        <f>AB185-AA185</f>
        <v>87257.459999999963</v>
      </c>
      <c r="AC186" s="35"/>
      <c r="AD186" s="78"/>
      <c r="AE186" s="78">
        <f>AE185-AD185</f>
        <v>-25728.889999999985</v>
      </c>
      <c r="AF186" s="88"/>
      <c r="AG186" s="88">
        <f>AG185-AF185</f>
        <v>-56797</v>
      </c>
      <c r="AH186" s="89"/>
      <c r="AI186" s="80"/>
      <c r="AJ186" s="80">
        <f>AJ185-AI185</f>
        <v>-132774.33000000007</v>
      </c>
      <c r="AK186" s="90" t="s">
        <v>150</v>
      </c>
      <c r="AL186" s="28"/>
      <c r="AM186" s="9">
        <f>AM185-AL185</f>
        <v>23824.339999999938</v>
      </c>
      <c r="AN186" s="20" t="s">
        <v>149</v>
      </c>
      <c r="AO186" s="20" t="s">
        <v>150</v>
      </c>
    </row>
    <row r="187" spans="1:42" x14ac:dyDescent="0.25">
      <c r="C187" s="15"/>
      <c r="D187" s="150"/>
      <c r="E187" s="78"/>
      <c r="F187" s="78"/>
      <c r="G187" s="88"/>
      <c r="H187" s="88"/>
      <c r="I187" s="78"/>
      <c r="J187" s="78"/>
      <c r="K187" s="88"/>
      <c r="L187" s="88"/>
      <c r="M187" s="78"/>
      <c r="N187" s="78"/>
      <c r="O187" s="88"/>
      <c r="P187" s="88"/>
      <c r="Q187" s="78"/>
      <c r="R187" s="78"/>
      <c r="S187" s="88"/>
      <c r="T187" s="88"/>
      <c r="U187" s="45"/>
      <c r="V187" s="45"/>
      <c r="W187" s="31"/>
      <c r="X187" s="31"/>
      <c r="Y187" s="132"/>
      <c r="Z187" s="132"/>
      <c r="AA187" s="31"/>
      <c r="AB187" s="31"/>
      <c r="AC187" s="35"/>
      <c r="AD187" s="78"/>
      <c r="AE187" s="78"/>
      <c r="AF187" s="88"/>
      <c r="AG187" s="88"/>
      <c r="AH187" s="89"/>
      <c r="AI187" s="80"/>
      <c r="AJ187" s="80"/>
      <c r="AK187" s="90"/>
      <c r="AL187" s="21"/>
      <c r="AM187" s="21"/>
      <c r="AN187" s="20"/>
      <c r="AO187" s="20"/>
    </row>
    <row r="188" spans="1:42" x14ac:dyDescent="0.25">
      <c r="C188" s="15"/>
      <c r="Y188"/>
      <c r="Z188" s="2" t="s">
        <v>167</v>
      </c>
      <c r="AJ188" t="s">
        <v>167</v>
      </c>
    </row>
    <row r="189" spans="1:42" x14ac:dyDescent="0.25">
      <c r="C189" s="15"/>
      <c r="T189" s="54"/>
      <c r="Y189"/>
      <c r="Z189" s="54"/>
    </row>
    <row r="190" spans="1:42" x14ac:dyDescent="0.25">
      <c r="C190" s="15"/>
      <c r="F190" s="54"/>
      <c r="J190" s="54"/>
      <c r="N190" s="54"/>
      <c r="Y190"/>
      <c r="Z190"/>
    </row>
    <row r="191" spans="1:42" x14ac:dyDescent="0.25">
      <c r="A191" t="s">
        <v>214</v>
      </c>
      <c r="C191" t="s">
        <v>754</v>
      </c>
      <c r="Y191" t="s">
        <v>185</v>
      </c>
      <c r="Z191" s="100">
        <f>Z186-8338.2</f>
        <v>83823.259999999995</v>
      </c>
      <c r="AA191" s="54">
        <f>Z191+Z192</f>
        <v>92161.459999999992</v>
      </c>
    </row>
    <row r="192" spans="1:42" x14ac:dyDescent="0.25">
      <c r="A192" t="s">
        <v>215</v>
      </c>
      <c r="C192" t="s">
        <v>755</v>
      </c>
      <c r="N192" s="54"/>
      <c r="Y192" t="s">
        <v>186</v>
      </c>
      <c r="Z192" s="100">
        <v>8338.2000000000007</v>
      </c>
      <c r="AA192" t="s">
        <v>188</v>
      </c>
    </row>
    <row r="193" spans="1:26" x14ac:dyDescent="0.25">
      <c r="A193" s="103"/>
    </row>
    <row r="194" spans="1:26" x14ac:dyDescent="0.25">
      <c r="C194" s="15"/>
      <c r="Y194" t="s">
        <v>187</v>
      </c>
      <c r="Z194" s="54" t="e">
        <f>Z191+#REF!+Z192</f>
        <v>#REF!</v>
      </c>
    </row>
    <row r="195" spans="1:26" x14ac:dyDescent="0.25">
      <c r="C195" s="15"/>
      <c r="H195" s="103"/>
      <c r="L195" s="103"/>
      <c r="Y195"/>
      <c r="Z195"/>
    </row>
    <row r="196" spans="1:26" x14ac:dyDescent="0.25">
      <c r="C196" s="15"/>
      <c r="Y196"/>
      <c r="Z196"/>
    </row>
    <row r="197" spans="1:26" x14ac:dyDescent="0.25">
      <c r="A197" s="16"/>
      <c r="B197" s="16"/>
      <c r="C197" s="16"/>
      <c r="Y197"/>
      <c r="Z197"/>
    </row>
    <row r="198" spans="1:26" x14ac:dyDescent="0.25">
      <c r="Y198"/>
      <c r="Z198"/>
    </row>
    <row r="199" spans="1:26" x14ac:dyDescent="0.25">
      <c r="Y199"/>
      <c r="Z199"/>
    </row>
    <row r="200" spans="1:26" x14ac:dyDescent="0.25">
      <c r="Y200"/>
      <c r="Z200"/>
    </row>
    <row r="201" spans="1:26" x14ac:dyDescent="0.25">
      <c r="Y201"/>
      <c r="Z201"/>
    </row>
    <row r="202" spans="1:26" x14ac:dyDescent="0.25">
      <c r="Y202"/>
      <c r="Z202"/>
    </row>
    <row r="203" spans="1:26" x14ac:dyDescent="0.25">
      <c r="Y203"/>
      <c r="Z203"/>
    </row>
    <row r="204" spans="1:26" x14ac:dyDescent="0.25">
      <c r="Y204"/>
      <c r="Z204"/>
    </row>
    <row r="205" spans="1:26" x14ac:dyDescent="0.25">
      <c r="Y205"/>
      <c r="Z205"/>
    </row>
    <row r="206" spans="1:26" x14ac:dyDescent="0.25">
      <c r="Y206"/>
      <c r="Z206"/>
    </row>
    <row r="207" spans="1:26" x14ac:dyDescent="0.25">
      <c r="Y207"/>
      <c r="Z207"/>
    </row>
    <row r="208" spans="1:26" x14ac:dyDescent="0.25">
      <c r="Y208"/>
      <c r="Z208"/>
    </row>
    <row r="209" spans="25:26" x14ac:dyDescent="0.25">
      <c r="Y209"/>
      <c r="Z209"/>
    </row>
    <row r="210" spans="25:26" x14ac:dyDescent="0.25">
      <c r="Y210"/>
      <c r="Z210"/>
    </row>
    <row r="211" spans="25:26" x14ac:dyDescent="0.25">
      <c r="Y211"/>
      <c r="Z211"/>
    </row>
    <row r="212" spans="25:26" x14ac:dyDescent="0.25">
      <c r="Y212"/>
      <c r="Z212"/>
    </row>
    <row r="213" spans="25:26" x14ac:dyDescent="0.25">
      <c r="Y213"/>
      <c r="Z213"/>
    </row>
    <row r="214" spans="25:26" x14ac:dyDescent="0.25">
      <c r="Y214"/>
      <c r="Z214"/>
    </row>
    <row r="215" spans="25:26" x14ac:dyDescent="0.25">
      <c r="Y215"/>
      <c r="Z215"/>
    </row>
    <row r="216" spans="25:26" x14ac:dyDescent="0.25">
      <c r="Y216"/>
      <c r="Z216"/>
    </row>
    <row r="217" spans="25:26" x14ac:dyDescent="0.25">
      <c r="Y217"/>
      <c r="Z217"/>
    </row>
    <row r="218" spans="25:26" x14ac:dyDescent="0.25">
      <c r="Y218"/>
      <c r="Z218"/>
    </row>
    <row r="219" spans="25:26" x14ac:dyDescent="0.25">
      <c r="Y219"/>
      <c r="Z219"/>
    </row>
    <row r="220" spans="25:26" x14ac:dyDescent="0.25">
      <c r="Y220"/>
      <c r="Z220"/>
    </row>
    <row r="221" spans="25:26" x14ac:dyDescent="0.25">
      <c r="Y221"/>
      <c r="Z221"/>
    </row>
    <row r="222" spans="25:26" x14ac:dyDescent="0.25">
      <c r="Y222"/>
      <c r="Z222"/>
    </row>
    <row r="223" spans="25:26" x14ac:dyDescent="0.25">
      <c r="Y223"/>
      <c r="Z223"/>
    </row>
    <row r="224" spans="25:26" x14ac:dyDescent="0.25">
      <c r="Y224"/>
      <c r="Z224"/>
    </row>
    <row r="225" spans="25:26" x14ac:dyDescent="0.25">
      <c r="Y225"/>
      <c r="Z225"/>
    </row>
    <row r="226" spans="25:26" x14ac:dyDescent="0.25">
      <c r="Y226"/>
      <c r="Z226"/>
    </row>
    <row r="227" spans="25:26" x14ac:dyDescent="0.25">
      <c r="Y227"/>
      <c r="Z227"/>
    </row>
    <row r="228" spans="25:26" x14ac:dyDescent="0.25">
      <c r="Y228"/>
      <c r="Z228"/>
    </row>
    <row r="229" spans="25:26" x14ac:dyDescent="0.25">
      <c r="Y229"/>
      <c r="Z229"/>
    </row>
    <row r="230" spans="25:26" x14ac:dyDescent="0.25">
      <c r="Y230"/>
      <c r="Z230"/>
    </row>
    <row r="231" spans="25:26" x14ac:dyDescent="0.25">
      <c r="Y231"/>
      <c r="Z231"/>
    </row>
    <row r="232" spans="25:26" x14ac:dyDescent="0.25">
      <c r="Y232"/>
      <c r="Z232"/>
    </row>
    <row r="233" spans="25:26" x14ac:dyDescent="0.25">
      <c r="Y233"/>
      <c r="Z233"/>
    </row>
    <row r="234" spans="25:26" x14ac:dyDescent="0.25">
      <c r="Y234"/>
      <c r="Z234"/>
    </row>
    <row r="235" spans="25:26" x14ac:dyDescent="0.25">
      <c r="Y235"/>
      <c r="Z235"/>
    </row>
    <row r="236" spans="25:26" x14ac:dyDescent="0.25">
      <c r="Y236"/>
      <c r="Z236"/>
    </row>
    <row r="237" spans="25:26" x14ac:dyDescent="0.25">
      <c r="Y237"/>
      <c r="Z237"/>
    </row>
    <row r="238" spans="25:26" x14ac:dyDescent="0.25">
      <c r="Y238"/>
      <c r="Z238"/>
    </row>
    <row r="239" spans="25:26" x14ac:dyDescent="0.25">
      <c r="Y239"/>
      <c r="Z239"/>
    </row>
    <row r="240" spans="25:26" x14ac:dyDescent="0.25">
      <c r="Y240"/>
      <c r="Z240"/>
    </row>
    <row r="241" spans="25:26" x14ac:dyDescent="0.25">
      <c r="Y241"/>
      <c r="Z241"/>
    </row>
    <row r="242" spans="25:26" x14ac:dyDescent="0.25">
      <c r="Y242"/>
      <c r="Z242"/>
    </row>
    <row r="243" spans="25:26" x14ac:dyDescent="0.25">
      <c r="Y243"/>
      <c r="Z243"/>
    </row>
    <row r="244" spans="25:26" x14ac:dyDescent="0.25">
      <c r="Y244"/>
      <c r="Z244"/>
    </row>
    <row r="245" spans="25:26" x14ac:dyDescent="0.25">
      <c r="Y245"/>
      <c r="Z245"/>
    </row>
    <row r="246" spans="25:26" x14ac:dyDescent="0.25">
      <c r="Y246"/>
      <c r="Z246"/>
    </row>
    <row r="247" spans="25:26" x14ac:dyDescent="0.25">
      <c r="Y247"/>
      <c r="Z247"/>
    </row>
    <row r="248" spans="25:26" x14ac:dyDescent="0.25">
      <c r="Y248"/>
      <c r="Z248"/>
    </row>
    <row r="249" spans="25:26" x14ac:dyDescent="0.25">
      <c r="Y249"/>
      <c r="Z249"/>
    </row>
    <row r="250" spans="25:26" x14ac:dyDescent="0.25">
      <c r="Y250"/>
      <c r="Z250"/>
    </row>
    <row r="251" spans="25:26" x14ac:dyDescent="0.25">
      <c r="Y251"/>
      <c r="Z251"/>
    </row>
    <row r="252" spans="25:26" x14ac:dyDescent="0.25">
      <c r="Y252"/>
      <c r="Z252"/>
    </row>
    <row r="253" spans="25:26" x14ac:dyDescent="0.25">
      <c r="Y253"/>
      <c r="Z253"/>
    </row>
    <row r="254" spans="25:26" x14ac:dyDescent="0.25">
      <c r="Y254"/>
      <c r="Z254"/>
    </row>
    <row r="255" spans="25:26" x14ac:dyDescent="0.25">
      <c r="Y255"/>
      <c r="Z255"/>
    </row>
    <row r="256" spans="25:26" x14ac:dyDescent="0.25">
      <c r="Y256"/>
      <c r="Z256"/>
    </row>
    <row r="257" spans="25:26" x14ac:dyDescent="0.25">
      <c r="Y257"/>
      <c r="Z257"/>
    </row>
    <row r="258" spans="25:26" x14ac:dyDescent="0.25">
      <c r="Y258"/>
      <c r="Z258"/>
    </row>
    <row r="259" spans="25:26" x14ac:dyDescent="0.25">
      <c r="Y259"/>
      <c r="Z259"/>
    </row>
    <row r="260" spans="25:26" x14ac:dyDescent="0.25">
      <c r="Y260"/>
      <c r="Z260"/>
    </row>
    <row r="261" spans="25:26" x14ac:dyDescent="0.25">
      <c r="Y261"/>
      <c r="Z261"/>
    </row>
    <row r="262" spans="25:26" x14ac:dyDescent="0.25">
      <c r="Y262"/>
      <c r="Z262"/>
    </row>
    <row r="263" spans="25:26" x14ac:dyDescent="0.25">
      <c r="Y263"/>
      <c r="Z263"/>
    </row>
    <row r="264" spans="25:26" x14ac:dyDescent="0.25">
      <c r="Y264"/>
      <c r="Z264"/>
    </row>
    <row r="265" spans="25:26" x14ac:dyDescent="0.25">
      <c r="Y265"/>
      <c r="Z265"/>
    </row>
    <row r="266" spans="25:26" x14ac:dyDescent="0.25">
      <c r="Y266"/>
      <c r="Z266"/>
    </row>
    <row r="267" spans="25:26" x14ac:dyDescent="0.25">
      <c r="Y267"/>
      <c r="Z267"/>
    </row>
    <row r="268" spans="25:26" x14ac:dyDescent="0.25">
      <c r="Y268"/>
      <c r="Z268"/>
    </row>
    <row r="269" spans="25:26" x14ac:dyDescent="0.25">
      <c r="Y269"/>
      <c r="Z269"/>
    </row>
    <row r="270" spans="25:26" x14ac:dyDescent="0.25">
      <c r="Y270"/>
      <c r="Z270"/>
    </row>
    <row r="271" spans="25:26" x14ac:dyDescent="0.25">
      <c r="Y271"/>
      <c r="Z271"/>
    </row>
    <row r="272" spans="25:26" x14ac:dyDescent="0.25">
      <c r="Y272"/>
      <c r="Z272"/>
    </row>
    <row r="273" spans="25:26" x14ac:dyDescent="0.25">
      <c r="Y273"/>
      <c r="Z273"/>
    </row>
    <row r="274" spans="25:26" x14ac:dyDescent="0.25">
      <c r="Y274"/>
      <c r="Z274"/>
    </row>
    <row r="275" spans="25:26" x14ac:dyDescent="0.25">
      <c r="Y275"/>
      <c r="Z275"/>
    </row>
    <row r="276" spans="25:26" x14ac:dyDescent="0.25">
      <c r="Y276"/>
      <c r="Z276"/>
    </row>
    <row r="277" spans="25:26" x14ac:dyDescent="0.25">
      <c r="Y277"/>
      <c r="Z277"/>
    </row>
    <row r="278" spans="25:26" x14ac:dyDescent="0.25">
      <c r="Y278"/>
      <c r="Z278"/>
    </row>
    <row r="279" spans="25:26" x14ac:dyDescent="0.25">
      <c r="Y279"/>
      <c r="Z279"/>
    </row>
    <row r="280" spans="25:26" x14ac:dyDescent="0.25">
      <c r="Y280"/>
      <c r="Z280"/>
    </row>
    <row r="281" spans="25:26" x14ac:dyDescent="0.25">
      <c r="Y281"/>
      <c r="Z281"/>
    </row>
    <row r="282" spans="25:26" x14ac:dyDescent="0.25">
      <c r="Y282"/>
      <c r="Z282"/>
    </row>
    <row r="283" spans="25:26" x14ac:dyDescent="0.25">
      <c r="Y283"/>
      <c r="Z283"/>
    </row>
    <row r="284" spans="25:26" x14ac:dyDescent="0.25">
      <c r="Y284"/>
      <c r="Z284"/>
    </row>
    <row r="285" spans="25:26" x14ac:dyDescent="0.25">
      <c r="Y285"/>
      <c r="Z285"/>
    </row>
    <row r="286" spans="25:26" x14ac:dyDescent="0.25">
      <c r="Y286"/>
      <c r="Z286"/>
    </row>
    <row r="287" spans="25:26" x14ac:dyDescent="0.25">
      <c r="Y287"/>
      <c r="Z287"/>
    </row>
    <row r="288" spans="25:26" x14ac:dyDescent="0.25">
      <c r="Y288"/>
      <c r="Z288"/>
    </row>
    <row r="289" spans="25:26" x14ac:dyDescent="0.25">
      <c r="Y289"/>
      <c r="Z289"/>
    </row>
    <row r="290" spans="25:26" x14ac:dyDescent="0.25">
      <c r="Y290"/>
      <c r="Z290"/>
    </row>
    <row r="291" spans="25:26" x14ac:dyDescent="0.25">
      <c r="Y291"/>
      <c r="Z291"/>
    </row>
    <row r="292" spans="25:26" x14ac:dyDescent="0.25">
      <c r="Y292"/>
      <c r="Z292"/>
    </row>
    <row r="293" spans="25:26" x14ac:dyDescent="0.25">
      <c r="Y293"/>
      <c r="Z293"/>
    </row>
    <row r="294" spans="25:26" x14ac:dyDescent="0.25">
      <c r="Y294"/>
      <c r="Z294"/>
    </row>
    <row r="295" spans="25:26" x14ac:dyDescent="0.25">
      <c r="Y295"/>
      <c r="Z295"/>
    </row>
    <row r="296" spans="25:26" x14ac:dyDescent="0.25">
      <c r="Y296"/>
      <c r="Z296"/>
    </row>
    <row r="297" spans="25:26" x14ac:dyDescent="0.25">
      <c r="Y297"/>
      <c r="Z297"/>
    </row>
    <row r="298" spans="25:26" x14ac:dyDescent="0.25">
      <c r="Y298"/>
      <c r="Z298"/>
    </row>
    <row r="299" spans="25:26" x14ac:dyDescent="0.25">
      <c r="Y299"/>
      <c r="Z299"/>
    </row>
    <row r="300" spans="25:26" x14ac:dyDescent="0.25">
      <c r="Y300"/>
      <c r="Z300"/>
    </row>
    <row r="301" spans="25:26" x14ac:dyDescent="0.25">
      <c r="Y301"/>
      <c r="Z301"/>
    </row>
    <row r="302" spans="25:26" x14ac:dyDescent="0.25">
      <c r="Y302"/>
      <c r="Z302"/>
    </row>
    <row r="303" spans="25:26" x14ac:dyDescent="0.25">
      <c r="Y303"/>
      <c r="Z303"/>
    </row>
    <row r="304" spans="25:26" x14ac:dyDescent="0.25">
      <c r="Y304"/>
      <c r="Z304"/>
    </row>
    <row r="305" spans="25:26" x14ac:dyDescent="0.25">
      <c r="Y305"/>
      <c r="Z305"/>
    </row>
    <row r="306" spans="25:26" x14ac:dyDescent="0.25">
      <c r="Y306"/>
      <c r="Z306"/>
    </row>
    <row r="307" spans="25:26" x14ac:dyDescent="0.25">
      <c r="Y307"/>
      <c r="Z307"/>
    </row>
    <row r="308" spans="25:26" x14ac:dyDescent="0.25">
      <c r="Y308"/>
      <c r="Z308"/>
    </row>
    <row r="309" spans="25:26" x14ac:dyDescent="0.25">
      <c r="Y309"/>
      <c r="Z309"/>
    </row>
    <row r="310" spans="25:26" x14ac:dyDescent="0.25">
      <c r="Y310"/>
      <c r="Z310"/>
    </row>
    <row r="311" spans="25:26" x14ac:dyDescent="0.25">
      <c r="Y311"/>
      <c r="Z311"/>
    </row>
    <row r="312" spans="25:26" x14ac:dyDescent="0.25">
      <c r="Y312"/>
      <c r="Z312"/>
    </row>
    <row r="313" spans="25:26" x14ac:dyDescent="0.25">
      <c r="Y313"/>
      <c r="Z313"/>
    </row>
    <row r="314" spans="25:26" x14ac:dyDescent="0.25">
      <c r="Y314"/>
      <c r="Z314"/>
    </row>
    <row r="315" spans="25:26" x14ac:dyDescent="0.25">
      <c r="Y315"/>
      <c r="Z315"/>
    </row>
    <row r="316" spans="25:26" x14ac:dyDescent="0.25">
      <c r="Y316"/>
      <c r="Z316"/>
    </row>
    <row r="317" spans="25:26" x14ac:dyDescent="0.25">
      <c r="Y317"/>
      <c r="Z317"/>
    </row>
    <row r="318" spans="25:26" x14ac:dyDescent="0.25">
      <c r="Y318"/>
      <c r="Z318"/>
    </row>
    <row r="319" spans="25:26" x14ac:dyDescent="0.25">
      <c r="Y319"/>
      <c r="Z319"/>
    </row>
    <row r="320" spans="25:26" x14ac:dyDescent="0.25">
      <c r="Y320"/>
      <c r="Z320"/>
    </row>
    <row r="321" spans="25:26" x14ac:dyDescent="0.25">
      <c r="Y321"/>
      <c r="Z321"/>
    </row>
    <row r="322" spans="25:26" x14ac:dyDescent="0.25">
      <c r="Y322"/>
      <c r="Z322"/>
    </row>
    <row r="323" spans="25:26" x14ac:dyDescent="0.25">
      <c r="Y323"/>
      <c r="Z323"/>
    </row>
    <row r="324" spans="25:26" x14ac:dyDescent="0.25">
      <c r="Y324"/>
      <c r="Z324"/>
    </row>
    <row r="325" spans="25:26" x14ac:dyDescent="0.25">
      <c r="Y325"/>
      <c r="Z325"/>
    </row>
    <row r="326" spans="25:26" x14ac:dyDescent="0.25">
      <c r="Y326"/>
      <c r="Z326"/>
    </row>
    <row r="327" spans="25:26" x14ac:dyDescent="0.25">
      <c r="Y327"/>
      <c r="Z327"/>
    </row>
    <row r="328" spans="25:26" x14ac:dyDescent="0.25">
      <c r="Y328"/>
      <c r="Z328"/>
    </row>
    <row r="329" spans="25:26" x14ac:dyDescent="0.25">
      <c r="Y329"/>
      <c r="Z329"/>
    </row>
    <row r="330" spans="25:26" x14ac:dyDescent="0.25">
      <c r="Y330"/>
      <c r="Z330"/>
    </row>
    <row r="331" spans="25:26" x14ac:dyDescent="0.25">
      <c r="Y331"/>
      <c r="Z331"/>
    </row>
    <row r="332" spans="25:26" x14ac:dyDescent="0.25">
      <c r="Y332"/>
      <c r="Z332"/>
    </row>
    <row r="333" spans="25:26" x14ac:dyDescent="0.25">
      <c r="Y333"/>
      <c r="Z333"/>
    </row>
    <row r="334" spans="25:26" x14ac:dyDescent="0.25">
      <c r="Y334"/>
      <c r="Z334"/>
    </row>
    <row r="335" spans="25:26" x14ac:dyDescent="0.25">
      <c r="Y335"/>
      <c r="Z335"/>
    </row>
    <row r="336" spans="25:26" x14ac:dyDescent="0.25">
      <c r="Y336"/>
      <c r="Z336"/>
    </row>
    <row r="337" spans="25:26" x14ac:dyDescent="0.25">
      <c r="Y337"/>
      <c r="Z337"/>
    </row>
    <row r="338" spans="25:26" x14ac:dyDescent="0.25">
      <c r="Y338"/>
      <c r="Z338"/>
    </row>
    <row r="339" spans="25:26" x14ac:dyDescent="0.25">
      <c r="Y339"/>
      <c r="Z339"/>
    </row>
    <row r="340" spans="25:26" x14ac:dyDescent="0.25">
      <c r="Y340"/>
      <c r="Z340"/>
    </row>
    <row r="341" spans="25:26" x14ac:dyDescent="0.25">
      <c r="Y341"/>
      <c r="Z341"/>
    </row>
    <row r="342" spans="25:26" x14ac:dyDescent="0.25">
      <c r="Y342"/>
      <c r="Z342"/>
    </row>
    <row r="343" spans="25:26" x14ac:dyDescent="0.25">
      <c r="Y343"/>
      <c r="Z343"/>
    </row>
    <row r="344" spans="25:26" x14ac:dyDescent="0.25">
      <c r="Y344"/>
      <c r="Z344"/>
    </row>
    <row r="345" spans="25:26" x14ac:dyDescent="0.25">
      <c r="Y345"/>
      <c r="Z345"/>
    </row>
    <row r="346" spans="25:26" x14ac:dyDescent="0.25">
      <c r="Y346"/>
      <c r="Z346"/>
    </row>
    <row r="347" spans="25:26" x14ac:dyDescent="0.25">
      <c r="Y347"/>
      <c r="Z347"/>
    </row>
    <row r="348" spans="25:26" x14ac:dyDescent="0.25">
      <c r="Y348"/>
      <c r="Z348"/>
    </row>
    <row r="349" spans="25:26" x14ac:dyDescent="0.25">
      <c r="Y349"/>
      <c r="Z349"/>
    </row>
    <row r="350" spans="25:26" x14ac:dyDescent="0.25">
      <c r="Y350"/>
      <c r="Z350"/>
    </row>
    <row r="351" spans="25:26" x14ac:dyDescent="0.25">
      <c r="Y351"/>
      <c r="Z351"/>
    </row>
    <row r="352" spans="25:26" x14ac:dyDescent="0.25">
      <c r="Y352"/>
      <c r="Z352"/>
    </row>
    <row r="353" spans="25:26" x14ac:dyDescent="0.25">
      <c r="Y353"/>
      <c r="Z353"/>
    </row>
    <row r="354" spans="25:26" x14ac:dyDescent="0.25">
      <c r="Y354"/>
      <c r="Z354"/>
    </row>
    <row r="355" spans="25:26" x14ac:dyDescent="0.25">
      <c r="Y355"/>
      <c r="Z355"/>
    </row>
    <row r="356" spans="25:26" x14ac:dyDescent="0.25">
      <c r="Y356"/>
      <c r="Z356"/>
    </row>
    <row r="357" spans="25:26" x14ac:dyDescent="0.25">
      <c r="Y357"/>
      <c r="Z357"/>
    </row>
    <row r="358" spans="25:26" x14ac:dyDescent="0.25">
      <c r="Y358"/>
      <c r="Z358"/>
    </row>
    <row r="359" spans="25:26" x14ac:dyDescent="0.25">
      <c r="Y359"/>
      <c r="Z359"/>
    </row>
    <row r="360" spans="25:26" x14ac:dyDescent="0.25">
      <c r="Y360"/>
      <c r="Z360"/>
    </row>
    <row r="361" spans="25:26" x14ac:dyDescent="0.25">
      <c r="Y361"/>
      <c r="Z361"/>
    </row>
    <row r="362" spans="25:26" x14ac:dyDescent="0.25">
      <c r="Y362"/>
      <c r="Z362"/>
    </row>
    <row r="363" spans="25:26" x14ac:dyDescent="0.25">
      <c r="Y363"/>
      <c r="Z363"/>
    </row>
    <row r="364" spans="25:26" x14ac:dyDescent="0.25">
      <c r="Y364"/>
      <c r="Z364"/>
    </row>
    <row r="365" spans="25:26" x14ac:dyDescent="0.25">
      <c r="Y365"/>
      <c r="Z365"/>
    </row>
    <row r="366" spans="25:26" x14ac:dyDescent="0.25">
      <c r="Y366"/>
      <c r="Z366"/>
    </row>
    <row r="367" spans="25:26" x14ac:dyDescent="0.25">
      <c r="Y367"/>
      <c r="Z367"/>
    </row>
    <row r="368" spans="25:26" x14ac:dyDescent="0.25">
      <c r="Y368"/>
      <c r="Z368"/>
    </row>
    <row r="369" spans="25:26" x14ac:dyDescent="0.25">
      <c r="Y369"/>
      <c r="Z369"/>
    </row>
    <row r="370" spans="25:26" x14ac:dyDescent="0.25">
      <c r="Y370"/>
      <c r="Z370"/>
    </row>
    <row r="371" spans="25:26" x14ac:dyDescent="0.25">
      <c r="Y371"/>
      <c r="Z371"/>
    </row>
    <row r="372" spans="25:26" x14ac:dyDescent="0.25">
      <c r="Y372"/>
      <c r="Z372"/>
    </row>
    <row r="373" spans="25:26" x14ac:dyDescent="0.25">
      <c r="Y373"/>
      <c r="Z373"/>
    </row>
    <row r="374" spans="25:26" x14ac:dyDescent="0.25">
      <c r="Y374"/>
      <c r="Z374"/>
    </row>
    <row r="375" spans="25:26" x14ac:dyDescent="0.25">
      <c r="Y375"/>
      <c r="Z375"/>
    </row>
    <row r="376" spans="25:26" x14ac:dyDescent="0.25">
      <c r="Y376"/>
      <c r="Z376"/>
    </row>
    <row r="377" spans="25:26" x14ac:dyDescent="0.25">
      <c r="Y377"/>
      <c r="Z377"/>
    </row>
    <row r="378" spans="25:26" x14ac:dyDescent="0.25">
      <c r="Y378"/>
      <c r="Z378"/>
    </row>
    <row r="379" spans="25:26" x14ac:dyDescent="0.25">
      <c r="Y379"/>
      <c r="Z379"/>
    </row>
    <row r="380" spans="25:26" x14ac:dyDescent="0.25">
      <c r="Y380"/>
      <c r="Z380"/>
    </row>
    <row r="381" spans="25:26" x14ac:dyDescent="0.25">
      <c r="Y381"/>
      <c r="Z381"/>
    </row>
    <row r="382" spans="25:26" x14ac:dyDescent="0.25">
      <c r="Y382"/>
      <c r="Z382"/>
    </row>
    <row r="383" spans="25:26" x14ac:dyDescent="0.25">
      <c r="Y383"/>
      <c r="Z383"/>
    </row>
    <row r="384" spans="25:26" x14ac:dyDescent="0.25">
      <c r="Y384"/>
      <c r="Z384"/>
    </row>
    <row r="385" spans="25:26" x14ac:dyDescent="0.25">
      <c r="Y385"/>
      <c r="Z385"/>
    </row>
    <row r="386" spans="25:26" x14ac:dyDescent="0.25">
      <c r="Y386"/>
      <c r="Z386"/>
    </row>
    <row r="387" spans="25:26" x14ac:dyDescent="0.25">
      <c r="Y387"/>
      <c r="Z387"/>
    </row>
    <row r="388" spans="25:26" x14ac:dyDescent="0.25">
      <c r="Y388"/>
      <c r="Z388"/>
    </row>
    <row r="389" spans="25:26" x14ac:dyDescent="0.25">
      <c r="Y389"/>
      <c r="Z389"/>
    </row>
    <row r="390" spans="25:26" x14ac:dyDescent="0.25">
      <c r="Y390"/>
      <c r="Z390"/>
    </row>
    <row r="391" spans="25:26" x14ac:dyDescent="0.25">
      <c r="Y391"/>
      <c r="Z391"/>
    </row>
    <row r="392" spans="25:26" x14ac:dyDescent="0.25">
      <c r="Y392"/>
      <c r="Z392"/>
    </row>
    <row r="393" spans="25:26" x14ac:dyDescent="0.25">
      <c r="Y393"/>
      <c r="Z393"/>
    </row>
    <row r="394" spans="25:26" x14ac:dyDescent="0.25">
      <c r="Y394"/>
      <c r="Z394"/>
    </row>
    <row r="395" spans="25:26" x14ac:dyDescent="0.25">
      <c r="Y395"/>
      <c r="Z395"/>
    </row>
    <row r="396" spans="25:26" x14ac:dyDescent="0.25">
      <c r="Y396"/>
      <c r="Z396"/>
    </row>
    <row r="397" spans="25:26" x14ac:dyDescent="0.25">
      <c r="Y397"/>
      <c r="Z397"/>
    </row>
    <row r="398" spans="25:26" x14ac:dyDescent="0.25">
      <c r="Y398"/>
      <c r="Z398"/>
    </row>
    <row r="399" spans="25:26" x14ac:dyDescent="0.25">
      <c r="Y399"/>
      <c r="Z399"/>
    </row>
    <row r="400" spans="25:26" x14ac:dyDescent="0.25">
      <c r="Y400"/>
      <c r="Z400"/>
    </row>
    <row r="401" spans="25:26" x14ac:dyDescent="0.25">
      <c r="Y401"/>
      <c r="Z401"/>
    </row>
    <row r="402" spans="25:26" x14ac:dyDescent="0.25">
      <c r="Y402"/>
      <c r="Z402"/>
    </row>
    <row r="403" spans="25:26" x14ac:dyDescent="0.25">
      <c r="Y403"/>
      <c r="Z403"/>
    </row>
    <row r="404" spans="25:26" x14ac:dyDescent="0.25">
      <c r="Y404"/>
      <c r="Z404"/>
    </row>
    <row r="405" spans="25:26" x14ac:dyDescent="0.25">
      <c r="Y405"/>
      <c r="Z405"/>
    </row>
    <row r="406" spans="25:26" x14ac:dyDescent="0.25">
      <c r="Y406"/>
      <c r="Z406"/>
    </row>
    <row r="407" spans="25:26" x14ac:dyDescent="0.25">
      <c r="Y407"/>
      <c r="Z407"/>
    </row>
    <row r="408" spans="25:26" x14ac:dyDescent="0.25">
      <c r="Y408"/>
      <c r="Z408"/>
    </row>
    <row r="409" spans="25:26" x14ac:dyDescent="0.25">
      <c r="Y409"/>
      <c r="Z409"/>
    </row>
    <row r="410" spans="25:26" x14ac:dyDescent="0.25">
      <c r="Y410"/>
      <c r="Z410"/>
    </row>
    <row r="411" spans="25:26" x14ac:dyDescent="0.25">
      <c r="Y411"/>
      <c r="Z411"/>
    </row>
    <row r="412" spans="25:26" x14ac:dyDescent="0.25">
      <c r="Y412"/>
      <c r="Z412"/>
    </row>
    <row r="413" spans="25:26" x14ac:dyDescent="0.25">
      <c r="Y413"/>
      <c r="Z413"/>
    </row>
    <row r="414" spans="25:26" x14ac:dyDescent="0.25">
      <c r="Y414"/>
      <c r="Z414"/>
    </row>
    <row r="415" spans="25:26" x14ac:dyDescent="0.25">
      <c r="Y415"/>
      <c r="Z415"/>
    </row>
    <row r="416" spans="25:26" x14ac:dyDescent="0.25">
      <c r="Y416"/>
      <c r="Z416"/>
    </row>
    <row r="417" spans="25:26" x14ac:dyDescent="0.25">
      <c r="Y417"/>
      <c r="Z417"/>
    </row>
    <row r="418" spans="25:26" x14ac:dyDescent="0.25">
      <c r="Y418"/>
      <c r="Z418"/>
    </row>
    <row r="419" spans="25:26" x14ac:dyDescent="0.25">
      <c r="Y419"/>
      <c r="Z419"/>
    </row>
    <row r="420" spans="25:26" x14ac:dyDescent="0.25">
      <c r="Y420"/>
      <c r="Z420"/>
    </row>
    <row r="421" spans="25:26" x14ac:dyDescent="0.25">
      <c r="Y421"/>
      <c r="Z421"/>
    </row>
    <row r="422" spans="25:26" x14ac:dyDescent="0.25">
      <c r="Y422"/>
      <c r="Z422"/>
    </row>
    <row r="423" spans="25:26" x14ac:dyDescent="0.25">
      <c r="Y423"/>
      <c r="Z423"/>
    </row>
    <row r="424" spans="25:26" x14ac:dyDescent="0.25">
      <c r="Y424"/>
      <c r="Z424"/>
    </row>
    <row r="425" spans="25:26" x14ac:dyDescent="0.25">
      <c r="Y425"/>
      <c r="Z425"/>
    </row>
    <row r="426" spans="25:26" x14ac:dyDescent="0.25">
      <c r="Y426"/>
      <c r="Z426"/>
    </row>
    <row r="427" spans="25:26" x14ac:dyDescent="0.25">
      <c r="Y427"/>
      <c r="Z427"/>
    </row>
    <row r="428" spans="25:26" x14ac:dyDescent="0.25">
      <c r="Y428"/>
      <c r="Z428"/>
    </row>
    <row r="429" spans="25:26" x14ac:dyDescent="0.25">
      <c r="Y429"/>
      <c r="Z429"/>
    </row>
    <row r="430" spans="25:26" x14ac:dyDescent="0.25">
      <c r="Y430"/>
      <c r="Z430"/>
    </row>
    <row r="431" spans="25:26" x14ac:dyDescent="0.25">
      <c r="Y431"/>
      <c r="Z431"/>
    </row>
    <row r="432" spans="25:26" x14ac:dyDescent="0.25">
      <c r="Y432"/>
      <c r="Z432"/>
    </row>
    <row r="433" spans="25:26" x14ac:dyDescent="0.25">
      <c r="Y433"/>
      <c r="Z433"/>
    </row>
    <row r="434" spans="25:26" x14ac:dyDescent="0.25">
      <c r="Y434"/>
      <c r="Z434"/>
    </row>
    <row r="435" spans="25:26" x14ac:dyDescent="0.25">
      <c r="Y435"/>
      <c r="Z435"/>
    </row>
    <row r="436" spans="25:26" x14ac:dyDescent="0.25">
      <c r="Y436"/>
      <c r="Z436"/>
    </row>
    <row r="437" spans="25:26" x14ac:dyDescent="0.25">
      <c r="Y437"/>
      <c r="Z437"/>
    </row>
    <row r="438" spans="25:26" x14ac:dyDescent="0.25">
      <c r="Y438"/>
      <c r="Z438"/>
    </row>
    <row r="439" spans="25:26" x14ac:dyDescent="0.25">
      <c r="Y439"/>
      <c r="Z439"/>
    </row>
    <row r="440" spans="25:26" x14ac:dyDescent="0.25">
      <c r="Y440"/>
      <c r="Z440"/>
    </row>
    <row r="441" spans="25:26" x14ac:dyDescent="0.25">
      <c r="Y441"/>
      <c r="Z441"/>
    </row>
    <row r="442" spans="25:26" x14ac:dyDescent="0.25">
      <c r="Y442"/>
      <c r="Z442"/>
    </row>
    <row r="443" spans="25:26" x14ac:dyDescent="0.25">
      <c r="Y443"/>
      <c r="Z443"/>
    </row>
    <row r="444" spans="25:26" x14ac:dyDescent="0.25">
      <c r="Y444"/>
      <c r="Z444"/>
    </row>
    <row r="445" spans="25:26" x14ac:dyDescent="0.25">
      <c r="Y445"/>
      <c r="Z445"/>
    </row>
    <row r="446" spans="25:26" x14ac:dyDescent="0.25">
      <c r="Y446"/>
      <c r="Z446"/>
    </row>
    <row r="447" spans="25:26" x14ac:dyDescent="0.25">
      <c r="Y447"/>
      <c r="Z447"/>
    </row>
    <row r="448" spans="25:26" x14ac:dyDescent="0.25">
      <c r="Y448"/>
      <c r="Z448"/>
    </row>
    <row r="449" spans="25:26" x14ac:dyDescent="0.25">
      <c r="Y449"/>
      <c r="Z449"/>
    </row>
    <row r="450" spans="25:26" x14ac:dyDescent="0.25">
      <c r="Y450"/>
      <c r="Z450"/>
    </row>
    <row r="451" spans="25:26" x14ac:dyDescent="0.25">
      <c r="Y451"/>
      <c r="Z451"/>
    </row>
    <row r="452" spans="25:26" x14ac:dyDescent="0.25">
      <c r="Y452"/>
      <c r="Z452"/>
    </row>
    <row r="453" spans="25:26" x14ac:dyDescent="0.25">
      <c r="Y453"/>
      <c r="Z453"/>
    </row>
    <row r="454" spans="25:26" x14ac:dyDescent="0.25">
      <c r="Y454"/>
      <c r="Z454"/>
    </row>
    <row r="455" spans="25:26" x14ac:dyDescent="0.25">
      <c r="Y455"/>
      <c r="Z455"/>
    </row>
    <row r="456" spans="25:26" x14ac:dyDescent="0.25">
      <c r="Y456"/>
      <c r="Z456"/>
    </row>
    <row r="457" spans="25:26" x14ac:dyDescent="0.25">
      <c r="Y457"/>
      <c r="Z457"/>
    </row>
    <row r="458" spans="25:26" x14ac:dyDescent="0.25">
      <c r="Y458"/>
      <c r="Z458"/>
    </row>
    <row r="459" spans="25:26" x14ac:dyDescent="0.25">
      <c r="Y459"/>
      <c r="Z459"/>
    </row>
    <row r="460" spans="25:26" x14ac:dyDescent="0.25">
      <c r="Y460"/>
      <c r="Z460"/>
    </row>
    <row r="461" spans="25:26" x14ac:dyDescent="0.25">
      <c r="Y461"/>
      <c r="Z461"/>
    </row>
    <row r="462" spans="25:26" x14ac:dyDescent="0.25">
      <c r="Y462"/>
      <c r="Z462"/>
    </row>
    <row r="463" spans="25:26" x14ac:dyDescent="0.25">
      <c r="Y463"/>
      <c r="Z463"/>
    </row>
    <row r="464" spans="25:26" x14ac:dyDescent="0.25">
      <c r="Y464"/>
      <c r="Z464"/>
    </row>
    <row r="465" spans="25:26" x14ac:dyDescent="0.25">
      <c r="Y465"/>
      <c r="Z465"/>
    </row>
    <row r="466" spans="25:26" x14ac:dyDescent="0.25">
      <c r="Y466"/>
      <c r="Z466"/>
    </row>
    <row r="467" spans="25:26" x14ac:dyDescent="0.25">
      <c r="Y467"/>
      <c r="Z467"/>
    </row>
    <row r="468" spans="25:26" x14ac:dyDescent="0.25">
      <c r="Y468"/>
      <c r="Z468"/>
    </row>
    <row r="469" spans="25:26" x14ac:dyDescent="0.25">
      <c r="Y469"/>
      <c r="Z469"/>
    </row>
    <row r="470" spans="25:26" x14ac:dyDescent="0.25">
      <c r="Y470"/>
      <c r="Z470"/>
    </row>
    <row r="471" spans="25:26" x14ac:dyDescent="0.25">
      <c r="Y471"/>
      <c r="Z471"/>
    </row>
    <row r="472" spans="25:26" x14ac:dyDescent="0.25">
      <c r="Y472"/>
      <c r="Z472"/>
    </row>
    <row r="473" spans="25:26" x14ac:dyDescent="0.25">
      <c r="Y473"/>
      <c r="Z473"/>
    </row>
    <row r="474" spans="25:26" x14ac:dyDescent="0.25">
      <c r="Y474"/>
      <c r="Z474"/>
    </row>
    <row r="475" spans="25:26" x14ac:dyDescent="0.25">
      <c r="Y475"/>
      <c r="Z475"/>
    </row>
    <row r="476" spans="25:26" x14ac:dyDescent="0.25">
      <c r="Y476"/>
      <c r="Z476"/>
    </row>
    <row r="477" spans="25:26" x14ac:dyDescent="0.25">
      <c r="Y477"/>
      <c r="Z477"/>
    </row>
    <row r="478" spans="25:26" x14ac:dyDescent="0.25">
      <c r="Y478"/>
      <c r="Z478"/>
    </row>
    <row r="479" spans="25:26" x14ac:dyDescent="0.25">
      <c r="Y479"/>
      <c r="Z479"/>
    </row>
    <row r="480" spans="25:26" x14ac:dyDescent="0.25">
      <c r="Y480"/>
      <c r="Z480"/>
    </row>
    <row r="481" spans="25:26" x14ac:dyDescent="0.25">
      <c r="Y481"/>
      <c r="Z481"/>
    </row>
    <row r="482" spans="25:26" x14ac:dyDescent="0.25">
      <c r="Y482"/>
      <c r="Z482"/>
    </row>
    <row r="483" spans="25:26" x14ac:dyDescent="0.25">
      <c r="Y483"/>
      <c r="Z483"/>
    </row>
    <row r="484" spans="25:26" x14ac:dyDescent="0.25">
      <c r="Y484"/>
      <c r="Z484"/>
    </row>
    <row r="485" spans="25:26" x14ac:dyDescent="0.25">
      <c r="Y485"/>
      <c r="Z485"/>
    </row>
    <row r="486" spans="25:26" x14ac:dyDescent="0.25">
      <c r="Y486"/>
      <c r="Z486"/>
    </row>
    <row r="487" spans="25:26" x14ac:dyDescent="0.25">
      <c r="Y487"/>
      <c r="Z487"/>
    </row>
    <row r="488" spans="25:26" x14ac:dyDescent="0.25">
      <c r="Y488"/>
      <c r="Z488"/>
    </row>
    <row r="489" spans="25:26" x14ac:dyDescent="0.25">
      <c r="Y489"/>
      <c r="Z489"/>
    </row>
    <row r="490" spans="25:26" x14ac:dyDescent="0.25">
      <c r="Y490"/>
      <c r="Z490"/>
    </row>
    <row r="491" spans="25:26" x14ac:dyDescent="0.25">
      <c r="Y491"/>
      <c r="Z491"/>
    </row>
    <row r="492" spans="25:26" x14ac:dyDescent="0.25">
      <c r="Y492"/>
      <c r="Z492"/>
    </row>
    <row r="493" spans="25:26" x14ac:dyDescent="0.25">
      <c r="Y493"/>
      <c r="Z493"/>
    </row>
    <row r="494" spans="25:26" x14ac:dyDescent="0.25">
      <c r="Y494"/>
      <c r="Z494"/>
    </row>
    <row r="495" spans="25:26" x14ac:dyDescent="0.25">
      <c r="Y495"/>
      <c r="Z495"/>
    </row>
    <row r="496" spans="25:26" x14ac:dyDescent="0.25">
      <c r="Y496"/>
      <c r="Z496"/>
    </row>
    <row r="497" spans="25:26" x14ac:dyDescent="0.25">
      <c r="Y497"/>
      <c r="Z497"/>
    </row>
    <row r="498" spans="25:26" x14ac:dyDescent="0.25">
      <c r="Y498"/>
      <c r="Z498"/>
    </row>
    <row r="499" spans="25:26" x14ac:dyDescent="0.25">
      <c r="Y499"/>
      <c r="Z499"/>
    </row>
    <row r="500" spans="25:26" x14ac:dyDescent="0.25">
      <c r="Y500"/>
      <c r="Z500"/>
    </row>
    <row r="501" spans="25:26" x14ac:dyDescent="0.25">
      <c r="Y501"/>
      <c r="Z501"/>
    </row>
    <row r="502" spans="25:26" x14ac:dyDescent="0.25">
      <c r="Y502"/>
      <c r="Z502"/>
    </row>
    <row r="503" spans="25:26" x14ac:dyDescent="0.25">
      <c r="Y503"/>
      <c r="Z503"/>
    </row>
    <row r="504" spans="25:26" x14ac:dyDescent="0.25">
      <c r="Y504"/>
      <c r="Z504"/>
    </row>
    <row r="505" spans="25:26" x14ac:dyDescent="0.25">
      <c r="Y505"/>
      <c r="Z505"/>
    </row>
    <row r="506" spans="25:26" x14ac:dyDescent="0.25">
      <c r="Y506"/>
      <c r="Z506"/>
    </row>
    <row r="507" spans="25:26" x14ac:dyDescent="0.25">
      <c r="Y507"/>
      <c r="Z507"/>
    </row>
    <row r="508" spans="25:26" x14ac:dyDescent="0.25">
      <c r="Y508"/>
      <c r="Z508"/>
    </row>
    <row r="509" spans="25:26" x14ac:dyDescent="0.25">
      <c r="Y509"/>
      <c r="Z509"/>
    </row>
    <row r="510" spans="25:26" x14ac:dyDescent="0.25">
      <c r="Y510"/>
      <c r="Z510"/>
    </row>
    <row r="511" spans="25:26" x14ac:dyDescent="0.25">
      <c r="Y511"/>
      <c r="Z511"/>
    </row>
    <row r="512" spans="25:26" x14ac:dyDescent="0.25">
      <c r="Y512"/>
      <c r="Z512"/>
    </row>
    <row r="513" spans="25:26" x14ac:dyDescent="0.25">
      <c r="Y513"/>
      <c r="Z513"/>
    </row>
    <row r="514" spans="25:26" x14ac:dyDescent="0.25">
      <c r="Y514"/>
      <c r="Z514"/>
    </row>
    <row r="515" spans="25:26" x14ac:dyDescent="0.25">
      <c r="Y515"/>
      <c r="Z515"/>
    </row>
    <row r="516" spans="25:26" x14ac:dyDescent="0.25">
      <c r="Y516"/>
      <c r="Z516"/>
    </row>
    <row r="517" spans="25:26" x14ac:dyDescent="0.25">
      <c r="Y517"/>
      <c r="Z517"/>
    </row>
    <row r="518" spans="25:26" x14ac:dyDescent="0.25">
      <c r="Y518"/>
      <c r="Z518"/>
    </row>
    <row r="519" spans="25:26" x14ac:dyDescent="0.25">
      <c r="Y519"/>
      <c r="Z519"/>
    </row>
    <row r="520" spans="25:26" x14ac:dyDescent="0.25">
      <c r="Y520"/>
      <c r="Z520"/>
    </row>
    <row r="521" spans="25:26" x14ac:dyDescent="0.25">
      <c r="Y521"/>
      <c r="Z521"/>
    </row>
    <row r="522" spans="25:26" x14ac:dyDescent="0.25">
      <c r="Y522"/>
      <c r="Z522"/>
    </row>
    <row r="523" spans="25:26" x14ac:dyDescent="0.25">
      <c r="Y523"/>
      <c r="Z523"/>
    </row>
    <row r="524" spans="25:26" x14ac:dyDescent="0.25">
      <c r="Y524"/>
      <c r="Z524"/>
    </row>
    <row r="525" spans="25:26" x14ac:dyDescent="0.25">
      <c r="Y525"/>
      <c r="Z525"/>
    </row>
    <row r="526" spans="25:26" x14ac:dyDescent="0.25">
      <c r="Y526"/>
      <c r="Z526"/>
    </row>
    <row r="527" spans="25:26" x14ac:dyDescent="0.25">
      <c r="Y527"/>
      <c r="Z527"/>
    </row>
    <row r="528" spans="25:26" x14ac:dyDescent="0.25">
      <c r="Y528"/>
      <c r="Z528"/>
    </row>
    <row r="529" spans="25:26" x14ac:dyDescent="0.25">
      <c r="Y529"/>
      <c r="Z529"/>
    </row>
    <row r="530" spans="25:26" x14ac:dyDescent="0.25">
      <c r="Y530"/>
      <c r="Z530"/>
    </row>
    <row r="531" spans="25:26" x14ac:dyDescent="0.25">
      <c r="Y531"/>
      <c r="Z531"/>
    </row>
    <row r="532" spans="25:26" x14ac:dyDescent="0.25">
      <c r="Y532"/>
      <c r="Z532"/>
    </row>
    <row r="533" spans="25:26" x14ac:dyDescent="0.25">
      <c r="Y533"/>
      <c r="Z533"/>
    </row>
    <row r="534" spans="25:26" x14ac:dyDescent="0.25">
      <c r="Y534"/>
      <c r="Z534"/>
    </row>
    <row r="535" spans="25:26" x14ac:dyDescent="0.25">
      <c r="Y535"/>
      <c r="Z535"/>
    </row>
    <row r="536" spans="25:26" x14ac:dyDescent="0.25">
      <c r="Y536"/>
      <c r="Z536"/>
    </row>
    <row r="537" spans="25:26" x14ac:dyDescent="0.25">
      <c r="Y537"/>
      <c r="Z537"/>
    </row>
    <row r="538" spans="25:26" x14ac:dyDescent="0.25">
      <c r="Y538"/>
      <c r="Z538"/>
    </row>
    <row r="539" spans="25:26" x14ac:dyDescent="0.25">
      <c r="Y539"/>
      <c r="Z539"/>
    </row>
    <row r="540" spans="25:26" x14ac:dyDescent="0.25">
      <c r="Y540"/>
      <c r="Z540"/>
    </row>
    <row r="541" spans="25:26" x14ac:dyDescent="0.25">
      <c r="Y541"/>
      <c r="Z541"/>
    </row>
    <row r="542" spans="25:26" x14ac:dyDescent="0.25">
      <c r="Y542"/>
      <c r="Z542"/>
    </row>
    <row r="543" spans="25:26" x14ac:dyDescent="0.25">
      <c r="Y543"/>
      <c r="Z543"/>
    </row>
    <row r="544" spans="25:26" x14ac:dyDescent="0.25">
      <c r="Y544"/>
      <c r="Z544"/>
    </row>
    <row r="545" spans="25:26" x14ac:dyDescent="0.25">
      <c r="Y545"/>
      <c r="Z545"/>
    </row>
    <row r="546" spans="25:26" x14ac:dyDescent="0.25">
      <c r="Y546"/>
      <c r="Z546"/>
    </row>
    <row r="547" spans="25:26" x14ac:dyDescent="0.25">
      <c r="Y547"/>
      <c r="Z547"/>
    </row>
    <row r="548" spans="25:26" x14ac:dyDescent="0.25">
      <c r="Y548"/>
      <c r="Z548"/>
    </row>
    <row r="549" spans="25:26" x14ac:dyDescent="0.25">
      <c r="Y549"/>
      <c r="Z549"/>
    </row>
    <row r="550" spans="25:26" x14ac:dyDescent="0.25">
      <c r="Y550"/>
      <c r="Z550"/>
    </row>
    <row r="551" spans="25:26" x14ac:dyDescent="0.25">
      <c r="Y551"/>
      <c r="Z551"/>
    </row>
    <row r="552" spans="25:26" x14ac:dyDescent="0.25">
      <c r="Y552"/>
      <c r="Z552"/>
    </row>
    <row r="553" spans="25:26" x14ac:dyDescent="0.25">
      <c r="Y553"/>
      <c r="Z553"/>
    </row>
    <row r="554" spans="25:26" x14ac:dyDescent="0.25">
      <c r="Y554"/>
      <c r="Z554"/>
    </row>
    <row r="555" spans="25:26" x14ac:dyDescent="0.25">
      <c r="Y555"/>
      <c r="Z555"/>
    </row>
    <row r="556" spans="25:26" x14ac:dyDescent="0.25">
      <c r="Y556"/>
      <c r="Z556"/>
    </row>
    <row r="557" spans="25:26" x14ac:dyDescent="0.25">
      <c r="Y557"/>
      <c r="Z557"/>
    </row>
    <row r="558" spans="25:26" x14ac:dyDescent="0.25">
      <c r="Y558"/>
      <c r="Z558"/>
    </row>
    <row r="559" spans="25:26" x14ac:dyDescent="0.25">
      <c r="Y559"/>
      <c r="Z559"/>
    </row>
    <row r="560" spans="25:26" x14ac:dyDescent="0.25">
      <c r="Y560"/>
      <c r="Z560"/>
    </row>
    <row r="561" spans="25:26" x14ac:dyDescent="0.25">
      <c r="Y561"/>
      <c r="Z561"/>
    </row>
    <row r="562" spans="25:26" x14ac:dyDescent="0.25">
      <c r="Y562"/>
      <c r="Z562"/>
    </row>
    <row r="563" spans="25:26" x14ac:dyDescent="0.25">
      <c r="Y563"/>
      <c r="Z563"/>
    </row>
    <row r="564" spans="25:26" x14ac:dyDescent="0.25">
      <c r="Y564"/>
      <c r="Z564"/>
    </row>
    <row r="565" spans="25:26" x14ac:dyDescent="0.25">
      <c r="Y565"/>
      <c r="Z565"/>
    </row>
    <row r="566" spans="25:26" x14ac:dyDescent="0.25">
      <c r="Y566"/>
      <c r="Z566"/>
    </row>
    <row r="567" spans="25:26" x14ac:dyDescent="0.25">
      <c r="Y567"/>
      <c r="Z567"/>
    </row>
    <row r="568" spans="25:26" x14ac:dyDescent="0.25">
      <c r="Y568"/>
      <c r="Z568"/>
    </row>
    <row r="569" spans="25:26" x14ac:dyDescent="0.25">
      <c r="Y569"/>
      <c r="Z569"/>
    </row>
    <row r="570" spans="25:26" x14ac:dyDescent="0.25">
      <c r="Y570"/>
      <c r="Z570"/>
    </row>
    <row r="571" spans="25:26" x14ac:dyDescent="0.25">
      <c r="Y571"/>
      <c r="Z571"/>
    </row>
    <row r="572" spans="25:26" x14ac:dyDescent="0.25">
      <c r="Y572"/>
      <c r="Z572"/>
    </row>
    <row r="573" spans="25:26" x14ac:dyDescent="0.25">
      <c r="Y573"/>
      <c r="Z573"/>
    </row>
    <row r="574" spans="25:26" x14ac:dyDescent="0.25">
      <c r="Y574"/>
      <c r="Z574"/>
    </row>
    <row r="575" spans="25:26" x14ac:dyDescent="0.25">
      <c r="Y575"/>
      <c r="Z575"/>
    </row>
    <row r="576" spans="25:26" x14ac:dyDescent="0.25">
      <c r="Y576"/>
      <c r="Z576"/>
    </row>
    <row r="577" spans="25:26" x14ac:dyDescent="0.25">
      <c r="Y577"/>
      <c r="Z577"/>
    </row>
    <row r="578" spans="25:26" x14ac:dyDescent="0.25">
      <c r="Y578"/>
      <c r="Z578"/>
    </row>
    <row r="579" spans="25:26" x14ac:dyDescent="0.25">
      <c r="Y579"/>
      <c r="Z579"/>
    </row>
    <row r="580" spans="25:26" x14ac:dyDescent="0.25">
      <c r="Y580"/>
      <c r="Z580"/>
    </row>
    <row r="581" spans="25:26" x14ac:dyDescent="0.25">
      <c r="Y581"/>
      <c r="Z581"/>
    </row>
    <row r="582" spans="25:26" x14ac:dyDescent="0.25">
      <c r="Y582"/>
      <c r="Z582"/>
    </row>
    <row r="583" spans="25:26" x14ac:dyDescent="0.25">
      <c r="Y583"/>
      <c r="Z583"/>
    </row>
    <row r="584" spans="25:26" x14ac:dyDescent="0.25">
      <c r="Y584"/>
      <c r="Z584"/>
    </row>
    <row r="585" spans="25:26" x14ac:dyDescent="0.25">
      <c r="Y585"/>
      <c r="Z585"/>
    </row>
    <row r="586" spans="25:26" x14ac:dyDescent="0.25">
      <c r="Y586"/>
      <c r="Z586"/>
    </row>
    <row r="587" spans="25:26" x14ac:dyDescent="0.25">
      <c r="Y587"/>
      <c r="Z587"/>
    </row>
    <row r="588" spans="25:26" x14ac:dyDescent="0.25">
      <c r="Y588"/>
      <c r="Z588"/>
    </row>
    <row r="589" spans="25:26" x14ac:dyDescent="0.25">
      <c r="Y589"/>
      <c r="Z589"/>
    </row>
    <row r="590" spans="25:26" x14ac:dyDescent="0.25">
      <c r="Y590"/>
      <c r="Z590"/>
    </row>
    <row r="591" spans="25:26" x14ac:dyDescent="0.25">
      <c r="Y591"/>
      <c r="Z591"/>
    </row>
    <row r="592" spans="25:26" x14ac:dyDescent="0.25">
      <c r="Y592"/>
      <c r="Z592"/>
    </row>
  </sheetData>
  <protectedRanges>
    <protectedRange password="CA65" sqref="U5:V5 U44:V44 U72:V72 U94:V94 U99:V99 U108:V108 U133:V133 U143:V143 U151:V151 U157:V157 S1:T1 S3:T3 S104:V104 U179:V179 O104:P104 O1:P1 O3:P3 W178:X187 AA1:AK187 W1:X175 K104:L104 K1:L1 K3:L3 G104:H104 G1:H1 G3:H3" name="Bereik1"/>
  </protectedRanges>
  <mergeCells count="21">
    <mergeCell ref="AL1:AN1"/>
    <mergeCell ref="AD1:AE1"/>
    <mergeCell ref="AA1:AC1"/>
    <mergeCell ref="Y1:Z1"/>
    <mergeCell ref="U1:V1"/>
    <mergeCell ref="W1:X1"/>
    <mergeCell ref="E1:F1"/>
    <mergeCell ref="G1:H1"/>
    <mergeCell ref="E2:F2"/>
    <mergeCell ref="AI1:AK1"/>
    <mergeCell ref="AF1:AH1"/>
    <mergeCell ref="Q1:R1"/>
    <mergeCell ref="I1:J1"/>
    <mergeCell ref="I2:J2"/>
    <mergeCell ref="K1:L1"/>
    <mergeCell ref="O1:P1"/>
    <mergeCell ref="Y2:Z2"/>
    <mergeCell ref="M1:N1"/>
    <mergeCell ref="M2:N2"/>
    <mergeCell ref="Q2:R2"/>
    <mergeCell ref="U2:V2"/>
  </mergeCells>
  <phoneticPr fontId="7" type="noConversion"/>
  <pageMargins left="0.75" right="0.75" top="1" bottom="1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694D-2E7A-4F45-AB11-7F69849E7998}">
  <dimension ref="A3:B57"/>
  <sheetViews>
    <sheetView workbookViewId="0">
      <selection activeCell="B35" sqref="B35"/>
    </sheetView>
  </sheetViews>
  <sheetFormatPr defaultRowHeight="13.2" x14ac:dyDescent="0.25"/>
  <cols>
    <col min="1" max="1" width="63.109375" bestFit="1" customWidth="1"/>
    <col min="2" max="2" width="16.109375" bestFit="1" customWidth="1"/>
    <col min="3" max="3" width="39.109375" bestFit="1" customWidth="1"/>
    <col min="4" max="4" width="35.6640625" bestFit="1" customWidth="1"/>
    <col min="5" max="5" width="28.5546875" bestFit="1" customWidth="1"/>
    <col min="6" max="6" width="23.5546875" bestFit="1" customWidth="1"/>
    <col min="7" max="7" width="15.6640625" bestFit="1" customWidth="1"/>
    <col min="8" max="8" width="18.6640625" bestFit="1" customWidth="1"/>
    <col min="9" max="9" width="15.6640625" bestFit="1" customWidth="1"/>
    <col min="10" max="10" width="6.109375" bestFit="1" customWidth="1"/>
    <col min="11" max="11" width="10.109375" bestFit="1" customWidth="1"/>
    <col min="12" max="12" width="39.109375" bestFit="1" customWidth="1"/>
    <col min="13" max="13" width="35.6640625" bestFit="1" customWidth="1"/>
    <col min="14" max="14" width="28.5546875" bestFit="1" customWidth="1"/>
    <col min="15" max="15" width="23.5546875" bestFit="1" customWidth="1"/>
    <col min="16" max="16" width="15.6640625" bestFit="1" customWidth="1"/>
    <col min="17" max="17" width="18.6640625" bestFit="1" customWidth="1"/>
    <col min="18" max="18" width="15.6640625" bestFit="1" customWidth="1"/>
    <col min="19" max="19" width="9" bestFit="1" customWidth="1"/>
    <col min="20" max="20" width="26" bestFit="1" customWidth="1"/>
    <col min="21" max="21" width="22.6640625" bestFit="1" customWidth="1"/>
  </cols>
  <sheetData>
    <row r="3" spans="1:2" x14ac:dyDescent="0.25">
      <c r="A3" s="129" t="s">
        <v>679</v>
      </c>
      <c r="B3" t="s">
        <v>681</v>
      </c>
    </row>
    <row r="4" spans="1:2" x14ac:dyDescent="0.25">
      <c r="A4" s="130" t="s">
        <v>364</v>
      </c>
      <c r="B4">
        <v>-22801.13</v>
      </c>
    </row>
    <row r="5" spans="1:2" x14ac:dyDescent="0.25">
      <c r="A5" s="131" t="s">
        <v>684</v>
      </c>
      <c r="B5">
        <v>176.07</v>
      </c>
    </row>
    <row r="6" spans="1:2" x14ac:dyDescent="0.25">
      <c r="A6" s="131" t="s">
        <v>686</v>
      </c>
      <c r="B6">
        <v>59.68</v>
      </c>
    </row>
    <row r="7" spans="1:2" x14ac:dyDescent="0.25">
      <c r="A7" s="131" t="s">
        <v>687</v>
      </c>
      <c r="B7">
        <v>109.99</v>
      </c>
    </row>
    <row r="8" spans="1:2" x14ac:dyDescent="0.25">
      <c r="A8" s="131" t="s">
        <v>688</v>
      </c>
      <c r="B8">
        <v>201.3</v>
      </c>
    </row>
    <row r="9" spans="1:2" x14ac:dyDescent="0.25">
      <c r="A9" s="131" t="s">
        <v>689</v>
      </c>
      <c r="B9">
        <v>1538.5</v>
      </c>
    </row>
    <row r="10" spans="1:2" x14ac:dyDescent="0.25">
      <c r="A10" s="131" t="s">
        <v>690</v>
      </c>
      <c r="B10">
        <v>724.46999999999991</v>
      </c>
    </row>
    <row r="11" spans="1:2" x14ac:dyDescent="0.25">
      <c r="A11" s="131" t="s">
        <v>691</v>
      </c>
      <c r="B11">
        <v>2900.79</v>
      </c>
    </row>
    <row r="12" spans="1:2" x14ac:dyDescent="0.25">
      <c r="A12" s="131" t="s">
        <v>692</v>
      </c>
      <c r="B12">
        <v>1136.33</v>
      </c>
    </row>
    <row r="13" spans="1:2" x14ac:dyDescent="0.25">
      <c r="A13" s="131" t="s">
        <v>693</v>
      </c>
      <c r="B13">
        <v>368.90999999999997</v>
      </c>
    </row>
    <row r="14" spans="1:2" x14ac:dyDescent="0.25">
      <c r="A14" s="131" t="s">
        <v>694</v>
      </c>
      <c r="B14">
        <v>1542.75</v>
      </c>
    </row>
    <row r="15" spans="1:2" x14ac:dyDescent="0.25">
      <c r="A15" s="131" t="s">
        <v>695</v>
      </c>
      <c r="B15">
        <v>479.25</v>
      </c>
    </row>
    <row r="16" spans="1:2" x14ac:dyDescent="0.25">
      <c r="A16" s="131" t="s">
        <v>696</v>
      </c>
      <c r="B16">
        <v>1267.04</v>
      </c>
    </row>
    <row r="17" spans="1:2" x14ac:dyDescent="0.25">
      <c r="A17" s="131" t="s">
        <v>698</v>
      </c>
      <c r="B17">
        <v>25.07</v>
      </c>
    </row>
    <row r="18" spans="1:2" x14ac:dyDescent="0.25">
      <c r="A18" s="131" t="s">
        <v>699</v>
      </c>
      <c r="B18">
        <v>407.51</v>
      </c>
    </row>
    <row r="19" spans="1:2" x14ac:dyDescent="0.25">
      <c r="A19" s="131" t="s">
        <v>700</v>
      </c>
      <c r="B19">
        <v>27.29</v>
      </c>
    </row>
    <row r="20" spans="1:2" x14ac:dyDescent="0.25">
      <c r="A20" s="131" t="s">
        <v>701</v>
      </c>
      <c r="B20">
        <v>661.41</v>
      </c>
    </row>
    <row r="21" spans="1:2" x14ac:dyDescent="0.25">
      <c r="A21" s="131" t="s">
        <v>702</v>
      </c>
      <c r="B21">
        <v>162.4</v>
      </c>
    </row>
    <row r="22" spans="1:2" x14ac:dyDescent="0.25">
      <c r="A22" s="131" t="s">
        <v>703</v>
      </c>
      <c r="B22">
        <v>162.56</v>
      </c>
    </row>
    <row r="23" spans="1:2" x14ac:dyDescent="0.25">
      <c r="A23" s="131" t="s">
        <v>704</v>
      </c>
      <c r="B23">
        <v>43.21</v>
      </c>
    </row>
    <row r="24" spans="1:2" x14ac:dyDescent="0.25">
      <c r="A24" s="131" t="s">
        <v>706</v>
      </c>
      <c r="B24">
        <v>67.5</v>
      </c>
    </row>
    <row r="25" spans="1:2" x14ac:dyDescent="0.25">
      <c r="A25" s="131" t="s">
        <v>712</v>
      </c>
      <c r="B25">
        <v>663.12</v>
      </c>
    </row>
    <row r="26" spans="1:2" x14ac:dyDescent="0.25">
      <c r="A26" s="131" t="s">
        <v>715</v>
      </c>
      <c r="B26">
        <v>223.04</v>
      </c>
    </row>
    <row r="27" spans="1:2" x14ac:dyDescent="0.25">
      <c r="A27" s="131" t="s">
        <v>716</v>
      </c>
      <c r="B27">
        <v>44.68</v>
      </c>
    </row>
    <row r="28" spans="1:2" x14ac:dyDescent="0.25">
      <c r="A28" s="131" t="s">
        <v>719</v>
      </c>
      <c r="B28">
        <v>-3493</v>
      </c>
    </row>
    <row r="29" spans="1:2" x14ac:dyDescent="0.25">
      <c r="A29" s="131" t="s">
        <v>720</v>
      </c>
      <c r="B29">
        <v>-32201</v>
      </c>
    </row>
    <row r="30" spans="1:2" x14ac:dyDescent="0.25">
      <c r="A30" s="131" t="s">
        <v>721</v>
      </c>
      <c r="B30">
        <v>-100</v>
      </c>
    </row>
    <row r="31" spans="1:2" x14ac:dyDescent="0.25">
      <c r="A31" s="130" t="s">
        <v>625</v>
      </c>
      <c r="B31">
        <v>114.89</v>
      </c>
    </row>
    <row r="32" spans="1:2" x14ac:dyDescent="0.25">
      <c r="A32" s="131" t="s">
        <v>717</v>
      </c>
      <c r="B32">
        <v>114.89</v>
      </c>
    </row>
    <row r="33" spans="1:2" x14ac:dyDescent="0.25">
      <c r="A33" s="130" t="s">
        <v>399</v>
      </c>
      <c r="B33">
        <v>-29854.95</v>
      </c>
    </row>
    <row r="34" spans="1:2" x14ac:dyDescent="0.25">
      <c r="A34" s="131" t="s">
        <v>682</v>
      </c>
      <c r="B34">
        <v>3348.74</v>
      </c>
    </row>
    <row r="35" spans="1:2" x14ac:dyDescent="0.25">
      <c r="A35" s="131" t="s">
        <v>697</v>
      </c>
      <c r="B35">
        <v>7052.31</v>
      </c>
    </row>
    <row r="36" spans="1:2" x14ac:dyDescent="0.25">
      <c r="A36" s="131" t="s">
        <v>705</v>
      </c>
      <c r="B36">
        <v>974</v>
      </c>
    </row>
    <row r="37" spans="1:2" x14ac:dyDescent="0.25">
      <c r="A37" s="131" t="s">
        <v>722</v>
      </c>
      <c r="B37">
        <v>-2760</v>
      </c>
    </row>
    <row r="38" spans="1:2" x14ac:dyDescent="0.25">
      <c r="A38" s="131" t="s">
        <v>723</v>
      </c>
      <c r="B38">
        <v>-37570</v>
      </c>
    </row>
    <row r="39" spans="1:2" x14ac:dyDescent="0.25">
      <c r="A39" s="131" t="s">
        <v>724</v>
      </c>
      <c r="B39">
        <v>-900</v>
      </c>
    </row>
    <row r="40" spans="1:2" x14ac:dyDescent="0.25">
      <c r="A40" s="130" t="s">
        <v>384</v>
      </c>
      <c r="B40">
        <v>-2981.21</v>
      </c>
    </row>
    <row r="41" spans="1:2" x14ac:dyDescent="0.25">
      <c r="A41" s="131" t="s">
        <v>692</v>
      </c>
      <c r="B41">
        <v>663.79</v>
      </c>
    </row>
    <row r="42" spans="1:2" x14ac:dyDescent="0.25">
      <c r="A42" s="131" t="s">
        <v>718</v>
      </c>
      <c r="B42">
        <v>-3645</v>
      </c>
    </row>
    <row r="43" spans="1:2" x14ac:dyDescent="0.25">
      <c r="A43" s="130" t="s">
        <v>382</v>
      </c>
      <c r="B43">
        <v>1118.53</v>
      </c>
    </row>
    <row r="44" spans="1:2" x14ac:dyDescent="0.25">
      <c r="A44" s="131" t="s">
        <v>685</v>
      </c>
      <c r="B44">
        <v>218.53</v>
      </c>
    </row>
    <row r="45" spans="1:2" x14ac:dyDescent="0.25">
      <c r="A45" s="131" t="s">
        <v>707</v>
      </c>
      <c r="B45">
        <v>900</v>
      </c>
    </row>
    <row r="46" spans="1:2" x14ac:dyDescent="0.25">
      <c r="A46" s="130" t="s">
        <v>593</v>
      </c>
      <c r="B46">
        <v>383.57</v>
      </c>
    </row>
    <row r="47" spans="1:2" x14ac:dyDescent="0.25">
      <c r="A47" s="131" t="s">
        <v>708</v>
      </c>
      <c r="B47">
        <v>383.57</v>
      </c>
    </row>
    <row r="48" spans="1:2" x14ac:dyDescent="0.25">
      <c r="A48" s="130" t="s">
        <v>469</v>
      </c>
      <c r="B48">
        <v>4183.03</v>
      </c>
    </row>
    <row r="49" spans="1:2" x14ac:dyDescent="0.25">
      <c r="A49" s="131" t="s">
        <v>683</v>
      </c>
      <c r="B49">
        <v>4183.03</v>
      </c>
    </row>
    <row r="50" spans="1:2" x14ac:dyDescent="0.25">
      <c r="A50" s="130" t="s">
        <v>375</v>
      </c>
      <c r="B50">
        <v>24590.049999999996</v>
      </c>
    </row>
    <row r="51" spans="1:2" x14ac:dyDescent="0.25">
      <c r="A51" s="131" t="s">
        <v>709</v>
      </c>
      <c r="B51">
        <v>21723.200000000001</v>
      </c>
    </row>
    <row r="52" spans="1:2" x14ac:dyDescent="0.25">
      <c r="A52" s="131" t="s">
        <v>710</v>
      </c>
      <c r="B52">
        <v>216.32000000000002</v>
      </c>
    </row>
    <row r="53" spans="1:2" x14ac:dyDescent="0.25">
      <c r="A53" s="131" t="s">
        <v>711</v>
      </c>
      <c r="B53">
        <v>877.26</v>
      </c>
    </row>
    <row r="54" spans="1:2" x14ac:dyDescent="0.25">
      <c r="A54" s="131" t="s">
        <v>712</v>
      </c>
      <c r="B54">
        <v>877.26</v>
      </c>
    </row>
    <row r="55" spans="1:2" x14ac:dyDescent="0.25">
      <c r="A55" s="131" t="s">
        <v>713</v>
      </c>
      <c r="B55">
        <v>301.75</v>
      </c>
    </row>
    <row r="56" spans="1:2" x14ac:dyDescent="0.25">
      <c r="A56" s="131" t="s">
        <v>714</v>
      </c>
      <c r="B56">
        <v>594.26</v>
      </c>
    </row>
    <row r="57" spans="1:2" x14ac:dyDescent="0.25">
      <c r="A57" s="130" t="s">
        <v>680</v>
      </c>
      <c r="B57">
        <v>-25247.220000000008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AE4A8-8899-42DB-9042-A824030BCBEB}">
  <dimension ref="A1:J392"/>
  <sheetViews>
    <sheetView workbookViewId="0">
      <selection activeCell="D32" sqref="D32"/>
    </sheetView>
  </sheetViews>
  <sheetFormatPr defaultRowHeight="13.2" x14ac:dyDescent="0.25"/>
  <cols>
    <col min="1" max="1" width="11.109375" bestFit="1" customWidth="1"/>
    <col min="2" max="2" width="11.88671875" bestFit="1" customWidth="1"/>
    <col min="3" max="3" width="10.109375" bestFit="1" customWidth="1"/>
    <col min="4" max="4" width="10" bestFit="1" customWidth="1"/>
    <col min="5" max="5" width="16.88671875" bestFit="1" customWidth="1"/>
    <col min="6" max="6" width="67" bestFit="1" customWidth="1"/>
    <col min="7" max="7" width="28.6640625" bestFit="1" customWidth="1"/>
    <col min="8" max="8" width="49.6640625" bestFit="1" customWidth="1"/>
    <col min="9" max="9" width="49.6640625" customWidth="1"/>
    <col min="10" max="10" width="36.44140625" bestFit="1" customWidth="1"/>
  </cols>
  <sheetData>
    <row r="1" spans="1:10" x14ac:dyDescent="0.25">
      <c r="A1" t="s">
        <v>674</v>
      </c>
      <c r="B1" t="s">
        <v>673</v>
      </c>
      <c r="C1" t="s">
        <v>678</v>
      </c>
      <c r="D1" t="s">
        <v>672</v>
      </c>
      <c r="E1" t="s">
        <v>677</v>
      </c>
      <c r="F1" t="s">
        <v>671</v>
      </c>
      <c r="G1" t="s">
        <v>670</v>
      </c>
      <c r="H1" t="s">
        <v>669</v>
      </c>
      <c r="I1" t="s">
        <v>676</v>
      </c>
      <c r="J1" t="s">
        <v>675</v>
      </c>
    </row>
    <row r="2" spans="1:10" x14ac:dyDescent="0.25">
      <c r="A2" t="s">
        <v>365</v>
      </c>
      <c r="B2">
        <v>20220013</v>
      </c>
      <c r="C2" s="94">
        <v>44580</v>
      </c>
      <c r="D2">
        <v>762.3</v>
      </c>
      <c r="E2">
        <v>762.3</v>
      </c>
      <c r="G2">
        <v>61000000</v>
      </c>
      <c r="H2" t="s">
        <v>87</v>
      </c>
      <c r="I2" t="str">
        <f t="shared" ref="I2:I65" si="0">CONCATENATE(G2," ",H2)</f>
        <v>61000000 Huur zalen, uitrusting, pauzes</v>
      </c>
      <c r="J2" t="s">
        <v>399</v>
      </c>
    </row>
    <row r="3" spans="1:10" x14ac:dyDescent="0.25">
      <c r="A3" t="s">
        <v>365</v>
      </c>
      <c r="B3">
        <v>20220048</v>
      </c>
      <c r="C3" s="94">
        <v>44621</v>
      </c>
      <c r="D3" s="61">
        <v>2586.44</v>
      </c>
      <c r="E3" s="61">
        <v>2586.44</v>
      </c>
      <c r="G3">
        <v>61000000</v>
      </c>
      <c r="H3" t="s">
        <v>87</v>
      </c>
      <c r="I3" t="str">
        <f t="shared" si="0"/>
        <v>61000000 Huur zalen, uitrusting, pauzes</v>
      </c>
      <c r="J3" t="s">
        <v>399</v>
      </c>
    </row>
    <row r="4" spans="1:10" x14ac:dyDescent="0.25">
      <c r="A4" t="s">
        <v>365</v>
      </c>
      <c r="B4">
        <v>20220034</v>
      </c>
      <c r="C4" s="94">
        <v>44573</v>
      </c>
      <c r="D4">
        <v>922.06</v>
      </c>
      <c r="E4">
        <v>922.06</v>
      </c>
      <c r="G4">
        <v>61010000</v>
      </c>
      <c r="H4" t="s">
        <v>470</v>
      </c>
      <c r="I4" t="str">
        <f t="shared" si="0"/>
        <v>61010000 Huur bureau leuven</v>
      </c>
      <c r="J4" t="s">
        <v>469</v>
      </c>
    </row>
    <row r="5" spans="1:10" x14ac:dyDescent="0.25">
      <c r="A5" t="s">
        <v>365</v>
      </c>
      <c r="B5">
        <v>20220040</v>
      </c>
      <c r="C5" s="94">
        <v>44601</v>
      </c>
      <c r="D5">
        <v>884.55</v>
      </c>
      <c r="E5">
        <v>884.55</v>
      </c>
      <c r="G5">
        <v>61010000</v>
      </c>
      <c r="H5" t="s">
        <v>470</v>
      </c>
      <c r="I5" t="str">
        <f t="shared" si="0"/>
        <v>61010000 Huur bureau leuven</v>
      </c>
      <c r="J5" t="s">
        <v>469</v>
      </c>
    </row>
    <row r="6" spans="1:10" x14ac:dyDescent="0.25">
      <c r="A6" t="s">
        <v>365</v>
      </c>
      <c r="B6">
        <v>20220044</v>
      </c>
      <c r="C6" s="94">
        <v>44620</v>
      </c>
      <c r="D6">
        <v>219.38</v>
      </c>
      <c r="E6">
        <v>219.38</v>
      </c>
      <c r="G6">
        <v>61010000</v>
      </c>
      <c r="H6" t="s">
        <v>470</v>
      </c>
      <c r="I6" t="str">
        <f t="shared" si="0"/>
        <v>61010000 Huur bureau leuven</v>
      </c>
      <c r="J6" t="s">
        <v>469</v>
      </c>
    </row>
    <row r="7" spans="1:10" x14ac:dyDescent="0.25">
      <c r="A7" t="s">
        <v>365</v>
      </c>
      <c r="B7">
        <v>20220047</v>
      </c>
      <c r="C7" s="94">
        <v>44621</v>
      </c>
      <c r="D7">
        <v>884.55</v>
      </c>
      <c r="E7">
        <v>884.55</v>
      </c>
      <c r="G7">
        <v>61010000</v>
      </c>
      <c r="H7" t="s">
        <v>470</v>
      </c>
      <c r="I7" t="str">
        <f t="shared" si="0"/>
        <v>61010000 Huur bureau leuven</v>
      </c>
      <c r="J7" t="s">
        <v>469</v>
      </c>
    </row>
    <row r="8" spans="1:10" x14ac:dyDescent="0.25">
      <c r="A8" t="s">
        <v>365</v>
      </c>
      <c r="B8">
        <v>20220064</v>
      </c>
      <c r="C8" s="94">
        <v>44651</v>
      </c>
      <c r="D8">
        <v>387.94</v>
      </c>
      <c r="E8">
        <v>387.94</v>
      </c>
      <c r="G8">
        <v>61010000</v>
      </c>
      <c r="H8" t="s">
        <v>470</v>
      </c>
      <c r="I8" t="str">
        <f t="shared" si="0"/>
        <v>61010000 Huur bureau leuven</v>
      </c>
      <c r="J8" t="s">
        <v>469</v>
      </c>
    </row>
    <row r="9" spans="1:10" x14ac:dyDescent="0.25">
      <c r="A9" t="s">
        <v>365</v>
      </c>
      <c r="B9">
        <v>20220068</v>
      </c>
      <c r="C9" s="94">
        <v>44652</v>
      </c>
      <c r="D9">
        <v>884.55</v>
      </c>
      <c r="E9">
        <v>884.55</v>
      </c>
      <c r="G9">
        <v>61010000</v>
      </c>
      <c r="H9" t="s">
        <v>470</v>
      </c>
      <c r="I9" t="str">
        <f t="shared" si="0"/>
        <v>61010000 Huur bureau leuven</v>
      </c>
      <c r="J9" t="s">
        <v>469</v>
      </c>
    </row>
    <row r="10" spans="1:10" x14ac:dyDescent="0.25">
      <c r="A10" t="s">
        <v>365</v>
      </c>
      <c r="B10">
        <v>20220011</v>
      </c>
      <c r="C10" s="94">
        <v>44555</v>
      </c>
      <c r="D10">
        <v>176.07</v>
      </c>
      <c r="E10">
        <v>176.07</v>
      </c>
      <c r="G10">
        <v>61011000</v>
      </c>
      <c r="H10" t="s">
        <v>668</v>
      </c>
      <c r="I10" t="str">
        <f t="shared" si="0"/>
        <v>61011000 Verzekering exploitatie, verenigingswerkers en vrijwilligers</v>
      </c>
      <c r="J10" t="s">
        <v>364</v>
      </c>
    </row>
    <row r="11" spans="1:10" x14ac:dyDescent="0.25">
      <c r="A11" t="s">
        <v>365</v>
      </c>
      <c r="B11">
        <v>20220087</v>
      </c>
      <c r="C11" s="94">
        <v>44675</v>
      </c>
      <c r="D11">
        <v>218.53</v>
      </c>
      <c r="E11">
        <v>218.53</v>
      </c>
      <c r="F11" t="s">
        <v>404</v>
      </c>
      <c r="G11">
        <v>61020000</v>
      </c>
      <c r="H11" t="s">
        <v>403</v>
      </c>
      <c r="I11" t="str">
        <f t="shared" si="0"/>
        <v>61020000 Drukwerken</v>
      </c>
      <c r="J11" t="s">
        <v>382</v>
      </c>
    </row>
    <row r="12" spans="1:10" x14ac:dyDescent="0.25">
      <c r="A12" t="s">
        <v>365</v>
      </c>
      <c r="B12">
        <v>20220028</v>
      </c>
      <c r="C12" s="94">
        <v>44602</v>
      </c>
      <c r="D12">
        <v>19.12</v>
      </c>
      <c r="E12">
        <v>19.12</v>
      </c>
      <c r="F12" t="s">
        <v>433</v>
      </c>
      <c r="G12">
        <v>61023000</v>
      </c>
      <c r="H12" t="s">
        <v>372</v>
      </c>
      <c r="I12" t="str">
        <f t="shared" si="0"/>
        <v>61023000 Erelonen</v>
      </c>
      <c r="J12" t="s">
        <v>364</v>
      </c>
    </row>
    <row r="13" spans="1:10" x14ac:dyDescent="0.25">
      <c r="A13" t="s">
        <v>365</v>
      </c>
      <c r="B13">
        <v>20220084</v>
      </c>
      <c r="C13" s="94">
        <v>44664</v>
      </c>
      <c r="D13">
        <v>25.07</v>
      </c>
      <c r="E13">
        <v>25.07</v>
      </c>
      <c r="G13">
        <v>61023000</v>
      </c>
      <c r="H13" t="s">
        <v>372</v>
      </c>
      <c r="I13" t="str">
        <f t="shared" si="0"/>
        <v>61023000 Erelonen</v>
      </c>
      <c r="J13" t="s">
        <v>364</v>
      </c>
    </row>
    <row r="14" spans="1:10" x14ac:dyDescent="0.25">
      <c r="A14" t="s">
        <v>365</v>
      </c>
      <c r="B14">
        <v>20220089</v>
      </c>
      <c r="C14" s="94">
        <v>44679</v>
      </c>
      <c r="D14">
        <v>15.49</v>
      </c>
      <c r="E14">
        <v>15.49</v>
      </c>
      <c r="G14">
        <v>61023000</v>
      </c>
      <c r="H14" t="s">
        <v>372</v>
      </c>
      <c r="I14" t="str">
        <f t="shared" si="0"/>
        <v>61023000 Erelonen</v>
      </c>
      <c r="J14" t="s">
        <v>364</v>
      </c>
    </row>
    <row r="15" spans="1:10" x14ac:dyDescent="0.25">
      <c r="A15">
        <v>80</v>
      </c>
      <c r="B15">
        <v>22800001</v>
      </c>
      <c r="C15" s="94">
        <v>44562</v>
      </c>
      <c r="D15">
        <v>109.99</v>
      </c>
      <c r="E15">
        <v>109.99</v>
      </c>
      <c r="F15" t="s">
        <v>667</v>
      </c>
      <c r="G15">
        <v>61025000</v>
      </c>
      <c r="H15" t="s">
        <v>666</v>
      </c>
      <c r="I15" t="str">
        <f t="shared" si="0"/>
        <v>61025000 Documentatie-abonnementen</v>
      </c>
      <c r="J15" t="s">
        <v>364</v>
      </c>
    </row>
    <row r="16" spans="1:10" x14ac:dyDescent="0.25">
      <c r="A16" t="s">
        <v>365</v>
      </c>
      <c r="B16">
        <v>20220082</v>
      </c>
      <c r="C16" s="94">
        <v>44645</v>
      </c>
      <c r="D16">
        <v>201.3</v>
      </c>
      <c r="E16">
        <v>201.3</v>
      </c>
      <c r="G16">
        <v>61053000</v>
      </c>
      <c r="H16" t="s">
        <v>503</v>
      </c>
      <c r="I16" t="str">
        <f t="shared" si="0"/>
        <v>61053000 Verkeersbelasting personenwagens</v>
      </c>
      <c r="J16" t="s">
        <v>364</v>
      </c>
    </row>
    <row r="17" spans="1:10" x14ac:dyDescent="0.25">
      <c r="A17" t="s">
        <v>365</v>
      </c>
      <c r="B17">
        <v>20220036</v>
      </c>
      <c r="C17" s="94">
        <v>44583</v>
      </c>
      <c r="D17">
        <v>9.99</v>
      </c>
      <c r="E17">
        <v>9.99</v>
      </c>
      <c r="G17">
        <v>61113000</v>
      </c>
      <c r="H17" t="s">
        <v>97</v>
      </c>
      <c r="I17" t="str">
        <f t="shared" si="0"/>
        <v>61113000 Onderhoud &amp; tax bedrijfswagen</v>
      </c>
      <c r="J17" t="s">
        <v>364</v>
      </c>
    </row>
    <row r="18" spans="1:10" x14ac:dyDescent="0.25">
      <c r="A18" t="s">
        <v>365</v>
      </c>
      <c r="B18">
        <v>20220038</v>
      </c>
      <c r="C18" s="94">
        <v>44595</v>
      </c>
      <c r="D18">
        <v>490</v>
      </c>
      <c r="E18">
        <v>490</v>
      </c>
      <c r="G18">
        <v>61113000</v>
      </c>
      <c r="H18" t="s">
        <v>97</v>
      </c>
      <c r="I18" t="str">
        <f t="shared" si="0"/>
        <v>61113000 Onderhoud &amp; tax bedrijfswagen</v>
      </c>
      <c r="J18" t="s">
        <v>364</v>
      </c>
    </row>
    <row r="19" spans="1:10" x14ac:dyDescent="0.25">
      <c r="A19" t="s">
        <v>365</v>
      </c>
      <c r="B19">
        <v>20220029</v>
      </c>
      <c r="C19" s="94">
        <v>44603</v>
      </c>
      <c r="D19">
        <v>38.9</v>
      </c>
      <c r="E19">
        <v>38.9</v>
      </c>
      <c r="G19">
        <v>61113000</v>
      </c>
      <c r="H19" t="s">
        <v>97</v>
      </c>
      <c r="I19" t="str">
        <f t="shared" si="0"/>
        <v>61113000 Onderhoud &amp; tax bedrijfswagen</v>
      </c>
      <c r="J19" t="s">
        <v>364</v>
      </c>
    </row>
    <row r="20" spans="1:10" x14ac:dyDescent="0.25">
      <c r="A20" t="s">
        <v>365</v>
      </c>
      <c r="B20">
        <v>20220065</v>
      </c>
      <c r="C20" s="94">
        <v>44652</v>
      </c>
      <c r="D20">
        <v>999.61</v>
      </c>
      <c r="E20">
        <v>999.61</v>
      </c>
      <c r="F20" t="s">
        <v>475</v>
      </c>
      <c r="G20">
        <v>61113000</v>
      </c>
      <c r="H20" t="s">
        <v>97</v>
      </c>
      <c r="I20" t="str">
        <f t="shared" si="0"/>
        <v>61113000 Onderhoud &amp; tax bedrijfswagen</v>
      </c>
      <c r="J20" t="s">
        <v>364</v>
      </c>
    </row>
    <row r="21" spans="1:10" x14ac:dyDescent="0.25">
      <c r="A21">
        <v>10</v>
      </c>
      <c r="B21">
        <v>22100004</v>
      </c>
      <c r="C21" s="94">
        <v>44567</v>
      </c>
      <c r="D21">
        <v>79.650000000000006</v>
      </c>
      <c r="E21">
        <v>79.650000000000006</v>
      </c>
      <c r="F21" t="s">
        <v>405</v>
      </c>
      <c r="G21">
        <v>61115000</v>
      </c>
      <c r="H21" t="s">
        <v>90</v>
      </c>
      <c r="I21" t="str">
        <f t="shared" si="0"/>
        <v>61115000 Brandstof bedrijfswagen</v>
      </c>
      <c r="J21" t="s">
        <v>364</v>
      </c>
    </row>
    <row r="22" spans="1:10" x14ac:dyDescent="0.25">
      <c r="A22">
        <v>10</v>
      </c>
      <c r="B22">
        <v>22100009</v>
      </c>
      <c r="C22" s="94">
        <v>44574</v>
      </c>
      <c r="D22">
        <v>35.54</v>
      </c>
      <c r="E22">
        <v>35.54</v>
      </c>
      <c r="F22" t="s">
        <v>656</v>
      </c>
      <c r="G22">
        <v>61115000</v>
      </c>
      <c r="H22" t="s">
        <v>90</v>
      </c>
      <c r="I22" t="str">
        <f t="shared" si="0"/>
        <v>61115000 Brandstof bedrijfswagen</v>
      </c>
      <c r="J22" t="s">
        <v>364</v>
      </c>
    </row>
    <row r="23" spans="1:10" x14ac:dyDescent="0.25">
      <c r="A23">
        <v>10</v>
      </c>
      <c r="B23">
        <v>22100011</v>
      </c>
      <c r="C23" s="94">
        <v>44576</v>
      </c>
      <c r="D23">
        <v>60.79</v>
      </c>
      <c r="E23">
        <v>60.79</v>
      </c>
      <c r="F23" t="s">
        <v>405</v>
      </c>
      <c r="G23">
        <v>61115000</v>
      </c>
      <c r="H23" t="s">
        <v>90</v>
      </c>
      <c r="I23" t="str">
        <f t="shared" si="0"/>
        <v>61115000 Brandstof bedrijfswagen</v>
      </c>
      <c r="J23" t="s">
        <v>364</v>
      </c>
    </row>
    <row r="24" spans="1:10" x14ac:dyDescent="0.25">
      <c r="A24">
        <v>10</v>
      </c>
      <c r="B24">
        <v>22100021</v>
      </c>
      <c r="C24" s="94">
        <v>44588</v>
      </c>
      <c r="D24">
        <v>77.59</v>
      </c>
      <c r="E24">
        <v>77.59</v>
      </c>
      <c r="F24" t="s">
        <v>405</v>
      </c>
      <c r="G24">
        <v>61115000</v>
      </c>
      <c r="H24" t="s">
        <v>90</v>
      </c>
      <c r="I24" t="str">
        <f t="shared" si="0"/>
        <v>61115000 Brandstof bedrijfswagen</v>
      </c>
      <c r="J24" t="s">
        <v>364</v>
      </c>
    </row>
    <row r="25" spans="1:10" x14ac:dyDescent="0.25">
      <c r="A25">
        <v>10</v>
      </c>
      <c r="B25">
        <v>22100025</v>
      </c>
      <c r="C25" s="94">
        <v>44598</v>
      </c>
      <c r="D25">
        <v>85.49</v>
      </c>
      <c r="E25">
        <v>85.49</v>
      </c>
      <c r="F25" t="s">
        <v>619</v>
      </c>
      <c r="G25">
        <v>61115000</v>
      </c>
      <c r="H25" t="s">
        <v>90</v>
      </c>
      <c r="I25" t="str">
        <f t="shared" si="0"/>
        <v>61115000 Brandstof bedrijfswagen</v>
      </c>
      <c r="J25" t="s">
        <v>364</v>
      </c>
    </row>
    <row r="26" spans="1:10" x14ac:dyDescent="0.25">
      <c r="A26">
        <v>10</v>
      </c>
      <c r="B26">
        <v>22100037</v>
      </c>
      <c r="C26" s="94">
        <v>44613</v>
      </c>
      <c r="D26">
        <v>82.15</v>
      </c>
      <c r="E26">
        <v>82.15</v>
      </c>
      <c r="F26" t="s">
        <v>405</v>
      </c>
      <c r="G26">
        <v>61115000</v>
      </c>
      <c r="H26" t="s">
        <v>90</v>
      </c>
      <c r="I26" t="str">
        <f t="shared" si="0"/>
        <v>61115000 Brandstof bedrijfswagen</v>
      </c>
      <c r="J26" t="s">
        <v>364</v>
      </c>
    </row>
    <row r="27" spans="1:10" x14ac:dyDescent="0.25">
      <c r="A27">
        <v>10</v>
      </c>
      <c r="B27">
        <v>22100054</v>
      </c>
      <c r="C27" s="94">
        <v>44636</v>
      </c>
      <c r="D27">
        <v>20.03</v>
      </c>
      <c r="E27">
        <v>20.03</v>
      </c>
      <c r="F27" t="s">
        <v>405</v>
      </c>
      <c r="G27">
        <v>61115000</v>
      </c>
      <c r="H27" t="s">
        <v>90</v>
      </c>
      <c r="I27" t="str">
        <f t="shared" si="0"/>
        <v>61115000 Brandstof bedrijfswagen</v>
      </c>
      <c r="J27" t="s">
        <v>364</v>
      </c>
    </row>
    <row r="28" spans="1:10" x14ac:dyDescent="0.25">
      <c r="A28">
        <v>10</v>
      </c>
      <c r="B28">
        <v>22100057</v>
      </c>
      <c r="C28" s="94">
        <v>44639</v>
      </c>
      <c r="D28">
        <v>85.07</v>
      </c>
      <c r="E28">
        <v>85.07</v>
      </c>
      <c r="F28" t="s">
        <v>405</v>
      </c>
      <c r="G28">
        <v>61115000</v>
      </c>
      <c r="H28" t="s">
        <v>90</v>
      </c>
      <c r="I28" t="str">
        <f t="shared" si="0"/>
        <v>61115000 Brandstof bedrijfswagen</v>
      </c>
      <c r="J28" t="s">
        <v>364</v>
      </c>
    </row>
    <row r="29" spans="1:10" x14ac:dyDescent="0.25">
      <c r="A29">
        <v>10</v>
      </c>
      <c r="B29">
        <v>22100068</v>
      </c>
      <c r="C29" s="94">
        <v>44652</v>
      </c>
      <c r="D29">
        <v>22.56</v>
      </c>
      <c r="E29">
        <v>22.56</v>
      </c>
      <c r="F29" t="s">
        <v>405</v>
      </c>
      <c r="G29">
        <v>61115000</v>
      </c>
      <c r="H29" t="s">
        <v>90</v>
      </c>
      <c r="I29" t="str">
        <f t="shared" si="0"/>
        <v>61115000 Brandstof bedrijfswagen</v>
      </c>
      <c r="J29" t="s">
        <v>364</v>
      </c>
    </row>
    <row r="30" spans="1:10" x14ac:dyDescent="0.25">
      <c r="A30">
        <v>10</v>
      </c>
      <c r="B30">
        <v>22100071</v>
      </c>
      <c r="C30" s="94">
        <v>44657</v>
      </c>
      <c r="D30">
        <v>89.38</v>
      </c>
      <c r="E30">
        <v>89.38</v>
      </c>
      <c r="F30" t="s">
        <v>451</v>
      </c>
      <c r="G30">
        <v>61115000</v>
      </c>
      <c r="H30" t="s">
        <v>90</v>
      </c>
      <c r="I30" t="str">
        <f t="shared" si="0"/>
        <v>61115000 Brandstof bedrijfswagen</v>
      </c>
      <c r="J30" t="s">
        <v>364</v>
      </c>
    </row>
    <row r="31" spans="1:10" x14ac:dyDescent="0.25">
      <c r="A31">
        <v>10</v>
      </c>
      <c r="B31">
        <v>22100084</v>
      </c>
      <c r="C31" s="94">
        <v>44674</v>
      </c>
      <c r="D31">
        <v>86.22</v>
      </c>
      <c r="E31">
        <v>86.22</v>
      </c>
      <c r="F31" t="s">
        <v>405</v>
      </c>
      <c r="G31">
        <v>61115000</v>
      </c>
      <c r="H31" t="s">
        <v>90</v>
      </c>
      <c r="I31" t="str">
        <f t="shared" si="0"/>
        <v>61115000 Brandstof bedrijfswagen</v>
      </c>
      <c r="J31" t="s">
        <v>364</v>
      </c>
    </row>
    <row r="32" spans="1:10" x14ac:dyDescent="0.25">
      <c r="A32">
        <v>80</v>
      </c>
      <c r="B32">
        <v>22800001</v>
      </c>
      <c r="C32" s="94">
        <v>44562</v>
      </c>
      <c r="D32">
        <v>16.93</v>
      </c>
      <c r="E32">
        <v>16.93</v>
      </c>
      <c r="F32" t="s">
        <v>663</v>
      </c>
      <c r="G32">
        <v>61231000</v>
      </c>
      <c r="H32" t="s">
        <v>6</v>
      </c>
      <c r="I32" t="str">
        <f t="shared" si="0"/>
        <v>61231000 Abonnementen en lidmaatschap</v>
      </c>
      <c r="J32" t="s">
        <v>364</v>
      </c>
    </row>
    <row r="33" spans="1:10" x14ac:dyDescent="0.25">
      <c r="A33">
        <v>80</v>
      </c>
      <c r="B33">
        <v>22800001</v>
      </c>
      <c r="C33" s="94">
        <v>44562</v>
      </c>
      <c r="D33">
        <v>16.93</v>
      </c>
      <c r="E33">
        <v>16.93</v>
      </c>
      <c r="F33" t="s">
        <v>663</v>
      </c>
      <c r="G33">
        <v>61231000</v>
      </c>
      <c r="H33" t="s">
        <v>6</v>
      </c>
      <c r="I33" t="str">
        <f t="shared" si="0"/>
        <v>61231000 Abonnementen en lidmaatschap</v>
      </c>
      <c r="J33" t="s">
        <v>364</v>
      </c>
    </row>
    <row r="34" spans="1:10" x14ac:dyDescent="0.25">
      <c r="A34" t="s">
        <v>365</v>
      </c>
      <c r="B34">
        <v>20220008</v>
      </c>
      <c r="C34" s="94">
        <v>44578</v>
      </c>
      <c r="D34" s="61">
        <v>2850</v>
      </c>
      <c r="E34" s="61">
        <v>2850</v>
      </c>
      <c r="G34">
        <v>61231000</v>
      </c>
      <c r="H34" t="s">
        <v>6</v>
      </c>
      <c r="I34" t="str">
        <f t="shared" si="0"/>
        <v>61231000 Abonnementen en lidmaatschap</v>
      </c>
      <c r="J34" t="s">
        <v>364</v>
      </c>
    </row>
    <row r="35" spans="1:10" x14ac:dyDescent="0.25">
      <c r="A35" t="s">
        <v>365</v>
      </c>
      <c r="B35">
        <v>20220042</v>
      </c>
      <c r="C35" s="94">
        <v>44612</v>
      </c>
      <c r="D35">
        <v>16.93</v>
      </c>
      <c r="E35">
        <v>16.93</v>
      </c>
      <c r="G35">
        <v>61231000</v>
      </c>
      <c r="H35" t="s">
        <v>6</v>
      </c>
      <c r="I35" t="str">
        <f t="shared" si="0"/>
        <v>61231000 Abonnementen en lidmaatschap</v>
      </c>
      <c r="J35" t="s">
        <v>364</v>
      </c>
    </row>
    <row r="36" spans="1:10" x14ac:dyDescent="0.25">
      <c r="A36" t="s">
        <v>365</v>
      </c>
      <c r="B36">
        <v>20220003</v>
      </c>
      <c r="C36" s="94">
        <v>44564</v>
      </c>
      <c r="D36">
        <v>15.25</v>
      </c>
      <c r="E36">
        <v>15.25</v>
      </c>
      <c r="G36">
        <v>61241000</v>
      </c>
      <c r="H36" t="s">
        <v>29</v>
      </c>
      <c r="I36" t="str">
        <f t="shared" si="0"/>
        <v>61241000 Bureaumateriaal &amp; drukwerk</v>
      </c>
      <c r="J36" t="s">
        <v>384</v>
      </c>
    </row>
    <row r="37" spans="1:10" x14ac:dyDescent="0.25">
      <c r="A37" t="s">
        <v>365</v>
      </c>
      <c r="B37">
        <v>20220017</v>
      </c>
      <c r="C37" s="94">
        <v>44592</v>
      </c>
      <c r="D37">
        <v>31.62</v>
      </c>
      <c r="E37">
        <v>31.62</v>
      </c>
      <c r="G37">
        <v>61241000</v>
      </c>
      <c r="H37" t="s">
        <v>29</v>
      </c>
      <c r="I37" t="str">
        <f t="shared" si="0"/>
        <v>61241000 Bureaumateriaal &amp; drukwerk</v>
      </c>
      <c r="J37" t="s">
        <v>364</v>
      </c>
    </row>
    <row r="38" spans="1:10" x14ac:dyDescent="0.25">
      <c r="A38" t="s">
        <v>365</v>
      </c>
      <c r="B38">
        <v>20220039</v>
      </c>
      <c r="C38" s="94">
        <v>44599</v>
      </c>
      <c r="D38">
        <v>65.5</v>
      </c>
      <c r="E38">
        <v>65.5</v>
      </c>
      <c r="G38">
        <v>61241000</v>
      </c>
      <c r="H38" t="s">
        <v>29</v>
      </c>
      <c r="I38" t="str">
        <f t="shared" si="0"/>
        <v>61241000 Bureaumateriaal &amp; drukwerk</v>
      </c>
      <c r="J38" t="s">
        <v>384</v>
      </c>
    </row>
    <row r="39" spans="1:10" x14ac:dyDescent="0.25">
      <c r="A39" t="s">
        <v>365</v>
      </c>
      <c r="B39">
        <v>20220078</v>
      </c>
      <c r="C39" s="94">
        <v>44620</v>
      </c>
      <c r="D39">
        <v>5.64</v>
      </c>
      <c r="E39">
        <v>5.64</v>
      </c>
      <c r="G39">
        <v>61241000</v>
      </c>
      <c r="H39" t="s">
        <v>29</v>
      </c>
      <c r="I39" t="str">
        <f t="shared" si="0"/>
        <v>61241000 Bureaumateriaal &amp; drukwerk</v>
      </c>
      <c r="J39" t="s">
        <v>364</v>
      </c>
    </row>
    <row r="40" spans="1:10" x14ac:dyDescent="0.25">
      <c r="A40" t="s">
        <v>365</v>
      </c>
      <c r="B40">
        <v>20220053</v>
      </c>
      <c r="C40" s="94">
        <v>44627</v>
      </c>
      <c r="D40">
        <v>10.5</v>
      </c>
      <c r="E40">
        <v>10.5</v>
      </c>
      <c r="G40">
        <v>61241000</v>
      </c>
      <c r="H40" t="s">
        <v>29</v>
      </c>
      <c r="I40" t="str">
        <f t="shared" si="0"/>
        <v>61241000 Bureaumateriaal &amp; drukwerk</v>
      </c>
      <c r="J40" t="s">
        <v>384</v>
      </c>
    </row>
    <row r="41" spans="1:10" x14ac:dyDescent="0.25">
      <c r="A41" t="s">
        <v>365</v>
      </c>
      <c r="B41">
        <v>20220055</v>
      </c>
      <c r="C41" s="94">
        <v>44629</v>
      </c>
      <c r="D41" s="61">
        <v>1027.29</v>
      </c>
      <c r="E41" s="61">
        <v>1027.29</v>
      </c>
      <c r="G41">
        <v>61241000</v>
      </c>
      <c r="H41" t="s">
        <v>29</v>
      </c>
      <c r="I41" t="str">
        <f t="shared" si="0"/>
        <v>61241000 Bureaumateriaal &amp; drukwerk</v>
      </c>
      <c r="J41" t="s">
        <v>364</v>
      </c>
    </row>
    <row r="42" spans="1:10" x14ac:dyDescent="0.25">
      <c r="A42" t="s">
        <v>365</v>
      </c>
      <c r="B42">
        <v>20220056</v>
      </c>
      <c r="C42" s="94">
        <v>44631</v>
      </c>
      <c r="D42">
        <v>16.5</v>
      </c>
      <c r="E42">
        <v>16.5</v>
      </c>
      <c r="G42">
        <v>61241000</v>
      </c>
      <c r="H42" t="s">
        <v>29</v>
      </c>
      <c r="I42" t="str">
        <f t="shared" si="0"/>
        <v>61241000 Bureaumateriaal &amp; drukwerk</v>
      </c>
      <c r="J42" t="s">
        <v>364</v>
      </c>
    </row>
    <row r="43" spans="1:10" x14ac:dyDescent="0.25">
      <c r="A43" t="s">
        <v>365</v>
      </c>
      <c r="B43">
        <v>20220079</v>
      </c>
      <c r="C43" s="94">
        <v>44651</v>
      </c>
      <c r="D43">
        <v>3.81</v>
      </c>
      <c r="E43">
        <v>3.81</v>
      </c>
      <c r="G43">
        <v>61241000</v>
      </c>
      <c r="H43" t="s">
        <v>29</v>
      </c>
      <c r="I43" t="str">
        <f t="shared" si="0"/>
        <v>61241000 Bureaumateriaal &amp; drukwerk</v>
      </c>
      <c r="J43" t="s">
        <v>364</v>
      </c>
    </row>
    <row r="44" spans="1:10" x14ac:dyDescent="0.25">
      <c r="A44" t="s">
        <v>365</v>
      </c>
      <c r="B44">
        <v>20220067</v>
      </c>
      <c r="C44" s="94">
        <v>44652</v>
      </c>
      <c r="D44">
        <v>566.28</v>
      </c>
      <c r="E44">
        <v>566.28</v>
      </c>
      <c r="G44">
        <v>61241000</v>
      </c>
      <c r="H44" t="s">
        <v>29</v>
      </c>
      <c r="I44" t="str">
        <f t="shared" si="0"/>
        <v>61241000 Bureaumateriaal &amp; drukwerk</v>
      </c>
      <c r="J44" t="s">
        <v>384</v>
      </c>
    </row>
    <row r="45" spans="1:10" x14ac:dyDescent="0.25">
      <c r="A45" t="s">
        <v>365</v>
      </c>
      <c r="B45">
        <v>20220071</v>
      </c>
      <c r="C45" s="94">
        <v>44655</v>
      </c>
      <c r="D45">
        <v>6.26</v>
      </c>
      <c r="E45">
        <v>6.26</v>
      </c>
      <c r="G45">
        <v>61241000</v>
      </c>
      <c r="H45" t="s">
        <v>29</v>
      </c>
      <c r="I45" t="str">
        <f t="shared" si="0"/>
        <v>61241000 Bureaumateriaal &amp; drukwerk</v>
      </c>
      <c r="J45" t="s">
        <v>384</v>
      </c>
    </row>
    <row r="46" spans="1:10" x14ac:dyDescent="0.25">
      <c r="A46" t="s">
        <v>365</v>
      </c>
      <c r="B46">
        <v>20220085</v>
      </c>
      <c r="C46" s="94">
        <v>44672</v>
      </c>
      <c r="D46">
        <v>38.49</v>
      </c>
      <c r="E46">
        <v>38.49</v>
      </c>
      <c r="F46" t="s">
        <v>409</v>
      </c>
      <c r="G46">
        <v>61241000</v>
      </c>
      <c r="H46" t="s">
        <v>29</v>
      </c>
      <c r="I46" t="str">
        <f t="shared" si="0"/>
        <v>61241000 Bureaumateriaal &amp; drukwerk</v>
      </c>
      <c r="J46" t="s">
        <v>364</v>
      </c>
    </row>
    <row r="47" spans="1:10" x14ac:dyDescent="0.25">
      <c r="A47" t="s">
        <v>365</v>
      </c>
      <c r="B47">
        <v>20220080</v>
      </c>
      <c r="C47" s="94">
        <v>44681</v>
      </c>
      <c r="D47">
        <v>12.98</v>
      </c>
      <c r="E47">
        <v>12.98</v>
      </c>
      <c r="G47">
        <v>61241000</v>
      </c>
      <c r="H47" t="s">
        <v>29</v>
      </c>
      <c r="I47" t="str">
        <f t="shared" si="0"/>
        <v>61241000 Bureaumateriaal &amp; drukwerk</v>
      </c>
      <c r="J47" t="s">
        <v>364</v>
      </c>
    </row>
    <row r="48" spans="1:10" x14ac:dyDescent="0.25">
      <c r="A48" t="s">
        <v>365</v>
      </c>
      <c r="B48">
        <v>20220006</v>
      </c>
      <c r="C48" s="94">
        <v>44566</v>
      </c>
      <c r="D48">
        <v>31.74</v>
      </c>
      <c r="E48">
        <v>31.74</v>
      </c>
      <c r="G48">
        <v>61243000</v>
      </c>
      <c r="H48" t="s">
        <v>371</v>
      </c>
      <c r="I48" t="str">
        <f t="shared" si="0"/>
        <v>61243000 Informaticamateriaal &amp; software</v>
      </c>
      <c r="J48" t="s">
        <v>364</v>
      </c>
    </row>
    <row r="49" spans="1:10" x14ac:dyDescent="0.25">
      <c r="A49" t="s">
        <v>365</v>
      </c>
      <c r="B49">
        <v>20220018</v>
      </c>
      <c r="C49" s="94">
        <v>44592</v>
      </c>
      <c r="D49">
        <v>48.4</v>
      </c>
      <c r="E49">
        <v>48.4</v>
      </c>
      <c r="G49">
        <v>61243000</v>
      </c>
      <c r="H49" t="s">
        <v>371</v>
      </c>
      <c r="I49" t="str">
        <f t="shared" si="0"/>
        <v>61243000 Informaticamateriaal &amp; software</v>
      </c>
      <c r="J49" t="s">
        <v>364</v>
      </c>
    </row>
    <row r="50" spans="1:10" x14ac:dyDescent="0.25">
      <c r="A50">
        <v>87</v>
      </c>
      <c r="B50">
        <v>22870001</v>
      </c>
      <c r="C50" s="94">
        <v>44592</v>
      </c>
      <c r="D50">
        <v>17.38</v>
      </c>
      <c r="E50">
        <v>17.38</v>
      </c>
      <c r="F50" t="s">
        <v>482</v>
      </c>
      <c r="G50">
        <v>61243000</v>
      </c>
      <c r="H50" t="s">
        <v>371</v>
      </c>
      <c r="I50" t="str">
        <f t="shared" si="0"/>
        <v>61243000 Informaticamateriaal &amp; software</v>
      </c>
      <c r="J50" t="s">
        <v>364</v>
      </c>
    </row>
    <row r="51" spans="1:10" x14ac:dyDescent="0.25">
      <c r="A51" t="s">
        <v>365</v>
      </c>
      <c r="B51">
        <v>20220026</v>
      </c>
      <c r="C51" s="94">
        <v>44596</v>
      </c>
      <c r="D51">
        <v>36.299999999999997</v>
      </c>
      <c r="E51">
        <v>36.299999999999997</v>
      </c>
      <c r="G51">
        <v>61243000</v>
      </c>
      <c r="H51" t="s">
        <v>371</v>
      </c>
      <c r="I51" t="str">
        <f t="shared" si="0"/>
        <v>61243000 Informaticamateriaal &amp; software</v>
      </c>
      <c r="J51" t="s">
        <v>364</v>
      </c>
    </row>
    <row r="52" spans="1:10" x14ac:dyDescent="0.25">
      <c r="A52">
        <v>87</v>
      </c>
      <c r="B52">
        <v>22870002</v>
      </c>
      <c r="C52" s="94">
        <v>44620</v>
      </c>
      <c r="D52">
        <v>15.7</v>
      </c>
      <c r="E52">
        <v>15.7</v>
      </c>
      <c r="F52" t="s">
        <v>596</v>
      </c>
      <c r="G52">
        <v>61243000</v>
      </c>
      <c r="H52" t="s">
        <v>371</v>
      </c>
      <c r="I52" t="str">
        <f t="shared" si="0"/>
        <v>61243000 Informaticamateriaal &amp; software</v>
      </c>
      <c r="J52" t="s">
        <v>364</v>
      </c>
    </row>
    <row r="53" spans="1:10" x14ac:dyDescent="0.25">
      <c r="A53" t="s">
        <v>365</v>
      </c>
      <c r="B53">
        <v>20220052</v>
      </c>
      <c r="C53" s="94">
        <v>44624</v>
      </c>
      <c r="D53">
        <v>36.299999999999997</v>
      </c>
      <c r="E53">
        <v>36.299999999999997</v>
      </c>
      <c r="G53">
        <v>61243000</v>
      </c>
      <c r="H53" t="s">
        <v>371</v>
      </c>
      <c r="I53" t="str">
        <f t="shared" si="0"/>
        <v>61243000 Informaticamateriaal &amp; software</v>
      </c>
      <c r="J53" t="s">
        <v>364</v>
      </c>
    </row>
    <row r="54" spans="1:10" x14ac:dyDescent="0.25">
      <c r="A54">
        <v>87</v>
      </c>
      <c r="B54">
        <v>22870003</v>
      </c>
      <c r="C54" s="94">
        <v>44651</v>
      </c>
      <c r="D54">
        <v>17.38</v>
      </c>
      <c r="E54">
        <v>17.38</v>
      </c>
      <c r="F54" t="s">
        <v>482</v>
      </c>
      <c r="G54">
        <v>61243000</v>
      </c>
      <c r="H54" t="s">
        <v>371</v>
      </c>
      <c r="I54" t="str">
        <f t="shared" si="0"/>
        <v>61243000 Informaticamateriaal &amp; software</v>
      </c>
      <c r="J54" t="s">
        <v>364</v>
      </c>
    </row>
    <row r="55" spans="1:10" x14ac:dyDescent="0.25">
      <c r="A55" t="s">
        <v>365</v>
      </c>
      <c r="B55">
        <v>20220072</v>
      </c>
      <c r="C55" s="94">
        <v>44656</v>
      </c>
      <c r="D55">
        <v>36.299999999999997</v>
      </c>
      <c r="E55">
        <v>36.299999999999997</v>
      </c>
      <c r="G55">
        <v>61243000</v>
      </c>
      <c r="H55" t="s">
        <v>371</v>
      </c>
      <c r="I55" t="str">
        <f t="shared" si="0"/>
        <v>61243000 Informaticamateriaal &amp; software</v>
      </c>
      <c r="J55" t="s">
        <v>364</v>
      </c>
    </row>
    <row r="56" spans="1:10" x14ac:dyDescent="0.25">
      <c r="A56">
        <v>87</v>
      </c>
      <c r="B56">
        <v>22870004</v>
      </c>
      <c r="C56" s="94">
        <v>44666</v>
      </c>
      <c r="D56">
        <v>8.41</v>
      </c>
      <c r="E56">
        <v>8.41</v>
      </c>
      <c r="F56" t="s">
        <v>426</v>
      </c>
      <c r="G56">
        <v>61243000</v>
      </c>
      <c r="H56" t="s">
        <v>371</v>
      </c>
      <c r="I56" t="str">
        <f t="shared" si="0"/>
        <v>61243000 Informaticamateriaal &amp; software</v>
      </c>
      <c r="J56" t="s">
        <v>364</v>
      </c>
    </row>
    <row r="57" spans="1:10" x14ac:dyDescent="0.25">
      <c r="A57" t="s">
        <v>365</v>
      </c>
      <c r="B57">
        <v>20220090</v>
      </c>
      <c r="C57" s="94">
        <v>44680</v>
      </c>
      <c r="D57">
        <v>121</v>
      </c>
      <c r="E57">
        <v>121</v>
      </c>
      <c r="G57">
        <v>61243000</v>
      </c>
      <c r="H57" t="s">
        <v>371</v>
      </c>
      <c r="I57" t="str">
        <f t="shared" si="0"/>
        <v>61243000 Informaticamateriaal &amp; software</v>
      </c>
      <c r="J57" t="s">
        <v>364</v>
      </c>
    </row>
    <row r="58" spans="1:10" x14ac:dyDescent="0.25">
      <c r="A58" t="s">
        <v>365</v>
      </c>
      <c r="B58">
        <v>20220001</v>
      </c>
      <c r="C58" s="94">
        <v>44562</v>
      </c>
      <c r="D58">
        <v>816.75</v>
      </c>
      <c r="E58">
        <v>816.75</v>
      </c>
      <c r="G58">
        <v>61244000</v>
      </c>
      <c r="H58" t="s">
        <v>465</v>
      </c>
      <c r="I58" t="str">
        <f t="shared" si="0"/>
        <v>61244000 Internet site</v>
      </c>
      <c r="J58" t="s">
        <v>364</v>
      </c>
    </row>
    <row r="59" spans="1:10" x14ac:dyDescent="0.25">
      <c r="A59" t="s">
        <v>365</v>
      </c>
      <c r="B59">
        <v>20220025</v>
      </c>
      <c r="C59" s="94">
        <v>44594</v>
      </c>
      <c r="D59">
        <v>0</v>
      </c>
      <c r="E59">
        <v>0</v>
      </c>
      <c r="G59">
        <v>61244000</v>
      </c>
      <c r="H59" t="s">
        <v>465</v>
      </c>
      <c r="I59" t="str">
        <f t="shared" si="0"/>
        <v>61244000 Internet site</v>
      </c>
      <c r="J59" t="s">
        <v>364</v>
      </c>
    </row>
    <row r="60" spans="1:10" x14ac:dyDescent="0.25">
      <c r="A60" t="s">
        <v>365</v>
      </c>
      <c r="B60">
        <v>20220083</v>
      </c>
      <c r="C60" s="94">
        <v>44652</v>
      </c>
      <c r="D60">
        <v>726</v>
      </c>
      <c r="E60">
        <v>726</v>
      </c>
      <c r="G60">
        <v>61244000</v>
      </c>
      <c r="H60" t="s">
        <v>465</v>
      </c>
      <c r="I60" t="str">
        <f t="shared" si="0"/>
        <v>61244000 Internet site</v>
      </c>
      <c r="J60" t="s">
        <v>364</v>
      </c>
    </row>
    <row r="61" spans="1:10" x14ac:dyDescent="0.25">
      <c r="A61" t="s">
        <v>365</v>
      </c>
      <c r="B61">
        <v>20220069</v>
      </c>
      <c r="C61" s="94">
        <v>44653</v>
      </c>
      <c r="D61">
        <v>0</v>
      </c>
      <c r="E61">
        <v>0</v>
      </c>
      <c r="G61">
        <v>61244000</v>
      </c>
      <c r="H61" t="s">
        <v>465</v>
      </c>
      <c r="I61" t="str">
        <f t="shared" si="0"/>
        <v>61244000 Internet site</v>
      </c>
      <c r="J61" t="s">
        <v>364</v>
      </c>
    </row>
    <row r="62" spans="1:10" x14ac:dyDescent="0.25">
      <c r="A62" t="s">
        <v>365</v>
      </c>
      <c r="B62">
        <v>20220002</v>
      </c>
      <c r="C62" s="94">
        <v>44562</v>
      </c>
      <c r="D62">
        <v>64.69</v>
      </c>
      <c r="E62">
        <v>64.69</v>
      </c>
      <c r="G62">
        <v>61271000</v>
      </c>
      <c r="H62" t="s">
        <v>0</v>
      </c>
      <c r="I62" t="str">
        <f t="shared" si="0"/>
        <v>61271000 Telecommunicatie</v>
      </c>
      <c r="J62" t="s">
        <v>364</v>
      </c>
    </row>
    <row r="63" spans="1:10" x14ac:dyDescent="0.25">
      <c r="A63" t="s">
        <v>365</v>
      </c>
      <c r="B63">
        <v>20220016</v>
      </c>
      <c r="C63" s="94">
        <v>44584</v>
      </c>
      <c r="D63">
        <v>50.26</v>
      </c>
      <c r="E63">
        <v>50.26</v>
      </c>
      <c r="G63">
        <v>61271000</v>
      </c>
      <c r="H63" t="s">
        <v>0</v>
      </c>
      <c r="I63" t="str">
        <f t="shared" si="0"/>
        <v>61271000 Telecommunicatie</v>
      </c>
      <c r="J63" t="s">
        <v>364</v>
      </c>
    </row>
    <row r="64" spans="1:10" x14ac:dyDescent="0.25">
      <c r="A64" t="s">
        <v>365</v>
      </c>
      <c r="B64">
        <v>20220021</v>
      </c>
      <c r="C64" s="94">
        <v>44593</v>
      </c>
      <c r="D64">
        <v>63.79</v>
      </c>
      <c r="E64">
        <v>63.79</v>
      </c>
      <c r="G64">
        <v>61271000</v>
      </c>
      <c r="H64" t="s">
        <v>0</v>
      </c>
      <c r="I64" t="str">
        <f t="shared" si="0"/>
        <v>61271000 Telecommunicatie</v>
      </c>
      <c r="J64" t="s">
        <v>364</v>
      </c>
    </row>
    <row r="65" spans="1:10" x14ac:dyDescent="0.25">
      <c r="A65" t="s">
        <v>365</v>
      </c>
      <c r="B65">
        <v>20220020</v>
      </c>
      <c r="C65" s="94">
        <v>44593</v>
      </c>
      <c r="D65">
        <v>11.15</v>
      </c>
      <c r="E65">
        <v>11.15</v>
      </c>
      <c r="G65">
        <v>61271000</v>
      </c>
      <c r="H65" t="s">
        <v>0</v>
      </c>
      <c r="I65" t="str">
        <f t="shared" si="0"/>
        <v>61271000 Telecommunicatie</v>
      </c>
      <c r="J65" t="s">
        <v>364</v>
      </c>
    </row>
    <row r="66" spans="1:10" x14ac:dyDescent="0.25">
      <c r="A66" t="s">
        <v>365</v>
      </c>
      <c r="B66">
        <v>20220043</v>
      </c>
      <c r="C66" s="94">
        <v>44615</v>
      </c>
      <c r="D66">
        <v>47.35</v>
      </c>
      <c r="E66">
        <v>47.35</v>
      </c>
      <c r="G66">
        <v>61271000</v>
      </c>
      <c r="H66" t="s">
        <v>0</v>
      </c>
      <c r="I66" t="str">
        <f t="shared" ref="I66:I129" si="1">CONCATENATE(G66," ",H66)</f>
        <v>61271000 Telecommunicatie</v>
      </c>
      <c r="J66" t="s">
        <v>364</v>
      </c>
    </row>
    <row r="67" spans="1:10" x14ac:dyDescent="0.25">
      <c r="A67" t="s">
        <v>365</v>
      </c>
      <c r="B67">
        <v>20220049</v>
      </c>
      <c r="C67" s="94">
        <v>44621</v>
      </c>
      <c r="D67">
        <v>73</v>
      </c>
      <c r="E67">
        <v>73</v>
      </c>
      <c r="G67">
        <v>61271000</v>
      </c>
      <c r="H67" t="s">
        <v>0</v>
      </c>
      <c r="I67" t="str">
        <f t="shared" si="1"/>
        <v>61271000 Telecommunicatie</v>
      </c>
      <c r="J67" t="s">
        <v>364</v>
      </c>
    </row>
    <row r="68" spans="1:10" x14ac:dyDescent="0.25">
      <c r="A68" t="s">
        <v>365</v>
      </c>
      <c r="B68">
        <v>20220060</v>
      </c>
      <c r="C68" s="94">
        <v>44643</v>
      </c>
      <c r="D68">
        <v>45.07</v>
      </c>
      <c r="E68">
        <v>45.07</v>
      </c>
      <c r="G68">
        <v>61271000</v>
      </c>
      <c r="H68" t="s">
        <v>0</v>
      </c>
      <c r="I68" t="str">
        <f t="shared" si="1"/>
        <v>61271000 Telecommunicatie</v>
      </c>
      <c r="J68" t="s">
        <v>364</v>
      </c>
    </row>
    <row r="69" spans="1:10" x14ac:dyDescent="0.25">
      <c r="A69" t="s">
        <v>365</v>
      </c>
      <c r="B69">
        <v>20220066</v>
      </c>
      <c r="C69" s="94">
        <v>44652</v>
      </c>
      <c r="D69">
        <v>73</v>
      </c>
      <c r="E69">
        <v>73</v>
      </c>
      <c r="G69">
        <v>61271000</v>
      </c>
      <c r="H69" t="s">
        <v>0</v>
      </c>
      <c r="I69" t="str">
        <f t="shared" si="1"/>
        <v>61271000 Telecommunicatie</v>
      </c>
      <c r="J69" t="s">
        <v>364</v>
      </c>
    </row>
    <row r="70" spans="1:10" x14ac:dyDescent="0.25">
      <c r="A70" t="s">
        <v>365</v>
      </c>
      <c r="B70">
        <v>20220086</v>
      </c>
      <c r="C70" s="94">
        <v>44674</v>
      </c>
      <c r="D70">
        <v>50.94</v>
      </c>
      <c r="E70">
        <v>50.94</v>
      </c>
      <c r="G70">
        <v>61271000</v>
      </c>
      <c r="H70" t="s">
        <v>0</v>
      </c>
      <c r="I70" t="str">
        <f t="shared" si="1"/>
        <v>61271000 Telecommunicatie</v>
      </c>
      <c r="J70" t="s">
        <v>364</v>
      </c>
    </row>
    <row r="71" spans="1:10" x14ac:dyDescent="0.25">
      <c r="A71" t="s">
        <v>365</v>
      </c>
      <c r="B71">
        <v>20220030</v>
      </c>
      <c r="C71" s="94">
        <v>44603</v>
      </c>
      <c r="D71" s="61">
        <v>1267.04</v>
      </c>
      <c r="E71" s="61">
        <v>1267.04</v>
      </c>
      <c r="G71">
        <v>61314000</v>
      </c>
      <c r="H71" t="s">
        <v>115</v>
      </c>
      <c r="I71" t="str">
        <f t="shared" si="1"/>
        <v>61314000 Prestaties boekhouder</v>
      </c>
      <c r="J71" t="s">
        <v>364</v>
      </c>
    </row>
    <row r="72" spans="1:10" x14ac:dyDescent="0.25">
      <c r="A72" t="s">
        <v>365</v>
      </c>
      <c r="B72">
        <v>20220009</v>
      </c>
      <c r="C72" s="94">
        <v>44578</v>
      </c>
      <c r="D72" s="61">
        <v>2178</v>
      </c>
      <c r="E72" s="61">
        <v>2178</v>
      </c>
      <c r="F72" t="s">
        <v>653</v>
      </c>
      <c r="G72">
        <v>61315000</v>
      </c>
      <c r="H72" t="s">
        <v>121</v>
      </c>
      <c r="I72" t="str">
        <f t="shared" si="1"/>
        <v>61315000 Vergoeding professoren</v>
      </c>
      <c r="J72" t="s">
        <v>399</v>
      </c>
    </row>
    <row r="73" spans="1:10" x14ac:dyDescent="0.25">
      <c r="A73" t="s">
        <v>365</v>
      </c>
      <c r="B73">
        <v>20220014</v>
      </c>
      <c r="C73" s="94">
        <v>44581</v>
      </c>
      <c r="D73">
        <v>450</v>
      </c>
      <c r="E73">
        <v>450</v>
      </c>
      <c r="G73">
        <v>61315000</v>
      </c>
      <c r="H73" t="s">
        <v>121</v>
      </c>
      <c r="I73" t="str">
        <f t="shared" si="1"/>
        <v>61315000 Vergoeding professoren</v>
      </c>
      <c r="J73" t="s">
        <v>399</v>
      </c>
    </row>
    <row r="74" spans="1:10" x14ac:dyDescent="0.25">
      <c r="A74" t="s">
        <v>365</v>
      </c>
      <c r="B74">
        <v>20220015</v>
      </c>
      <c r="C74" s="94">
        <v>44583</v>
      </c>
      <c r="D74">
        <v>450</v>
      </c>
      <c r="E74">
        <v>450</v>
      </c>
      <c r="G74">
        <v>61315000</v>
      </c>
      <c r="H74" t="s">
        <v>121</v>
      </c>
      <c r="I74" t="str">
        <f t="shared" si="1"/>
        <v>61315000 Vergoeding professoren</v>
      </c>
      <c r="J74" t="s">
        <v>399</v>
      </c>
    </row>
    <row r="75" spans="1:10" x14ac:dyDescent="0.25">
      <c r="A75" t="s">
        <v>365</v>
      </c>
      <c r="B75">
        <v>20220027</v>
      </c>
      <c r="C75" s="94">
        <v>44597</v>
      </c>
      <c r="D75">
        <v>225</v>
      </c>
      <c r="E75">
        <v>225</v>
      </c>
      <c r="G75">
        <v>61315000</v>
      </c>
      <c r="H75" t="s">
        <v>121</v>
      </c>
      <c r="I75" t="str">
        <f t="shared" si="1"/>
        <v>61315000 Vergoeding professoren</v>
      </c>
      <c r="J75" t="s">
        <v>399</v>
      </c>
    </row>
    <row r="76" spans="1:10" x14ac:dyDescent="0.25">
      <c r="A76" t="s">
        <v>365</v>
      </c>
      <c r="B76">
        <v>20220031</v>
      </c>
      <c r="C76" s="94">
        <v>44603</v>
      </c>
      <c r="D76" s="61">
        <v>2178</v>
      </c>
      <c r="E76" s="61">
        <v>2178</v>
      </c>
      <c r="G76">
        <v>61315000</v>
      </c>
      <c r="H76" t="s">
        <v>121</v>
      </c>
      <c r="I76" t="str">
        <f t="shared" si="1"/>
        <v>61315000 Vergoeding professoren</v>
      </c>
      <c r="J76" t="s">
        <v>399</v>
      </c>
    </row>
    <row r="77" spans="1:10" x14ac:dyDescent="0.25">
      <c r="A77" t="s">
        <v>365</v>
      </c>
      <c r="B77">
        <v>20220058</v>
      </c>
      <c r="C77" s="94">
        <v>44639</v>
      </c>
      <c r="D77">
        <v>450</v>
      </c>
      <c r="E77">
        <v>450</v>
      </c>
      <c r="F77" t="s">
        <v>408</v>
      </c>
      <c r="G77">
        <v>61315000</v>
      </c>
      <c r="H77" t="s">
        <v>121</v>
      </c>
      <c r="I77" t="str">
        <f t="shared" si="1"/>
        <v>61315000 Vergoeding professoren</v>
      </c>
      <c r="J77" t="s">
        <v>399</v>
      </c>
    </row>
    <row r="78" spans="1:10" x14ac:dyDescent="0.25">
      <c r="A78" t="s">
        <v>365</v>
      </c>
      <c r="B78">
        <v>20220062</v>
      </c>
      <c r="C78" s="94">
        <v>44646</v>
      </c>
      <c r="D78">
        <v>450</v>
      </c>
      <c r="E78">
        <v>450</v>
      </c>
      <c r="F78" t="s">
        <v>408</v>
      </c>
      <c r="G78">
        <v>61315000</v>
      </c>
      <c r="H78" t="s">
        <v>121</v>
      </c>
      <c r="I78" t="str">
        <f t="shared" si="1"/>
        <v>61315000 Vergoeding professoren</v>
      </c>
      <c r="J78" t="s">
        <v>399</v>
      </c>
    </row>
    <row r="79" spans="1:10" x14ac:dyDescent="0.25">
      <c r="A79" t="s">
        <v>365</v>
      </c>
      <c r="B79">
        <v>20220063</v>
      </c>
      <c r="C79" s="94">
        <v>44649</v>
      </c>
      <c r="D79">
        <v>126.81</v>
      </c>
      <c r="E79">
        <v>126.81</v>
      </c>
      <c r="F79" t="s">
        <v>408</v>
      </c>
      <c r="G79">
        <v>61315000</v>
      </c>
      <c r="H79" t="s">
        <v>121</v>
      </c>
      <c r="I79" t="str">
        <f t="shared" si="1"/>
        <v>61315000 Vergoeding professoren</v>
      </c>
      <c r="J79" t="s">
        <v>399</v>
      </c>
    </row>
    <row r="80" spans="1:10" x14ac:dyDescent="0.25">
      <c r="A80" t="s">
        <v>365</v>
      </c>
      <c r="B80">
        <v>20220076</v>
      </c>
      <c r="C80" s="94">
        <v>44672</v>
      </c>
      <c r="D80">
        <v>544.5</v>
      </c>
      <c r="E80">
        <v>544.5</v>
      </c>
      <c r="F80" t="s">
        <v>408</v>
      </c>
      <c r="G80">
        <v>61315000</v>
      </c>
      <c r="H80" t="s">
        <v>121</v>
      </c>
      <c r="I80" t="str">
        <f t="shared" si="1"/>
        <v>61315000 Vergoeding professoren</v>
      </c>
      <c r="J80" t="s">
        <v>399</v>
      </c>
    </row>
    <row r="81" spans="1:10" x14ac:dyDescent="0.25">
      <c r="A81" t="s">
        <v>365</v>
      </c>
      <c r="B81">
        <v>20220074</v>
      </c>
      <c r="C81" s="94">
        <v>44664</v>
      </c>
      <c r="D81">
        <v>25.07</v>
      </c>
      <c r="E81">
        <v>25.07</v>
      </c>
      <c r="F81" t="s">
        <v>433</v>
      </c>
      <c r="G81">
        <v>61320000</v>
      </c>
      <c r="H81" t="s">
        <v>432</v>
      </c>
      <c r="I81" t="str">
        <f t="shared" si="1"/>
        <v>61320000 Bijdragen aan sodexo</v>
      </c>
      <c r="J81" t="s">
        <v>364</v>
      </c>
    </row>
    <row r="82" spans="1:10" x14ac:dyDescent="0.25">
      <c r="A82" t="s">
        <v>365</v>
      </c>
      <c r="B82">
        <v>20220019</v>
      </c>
      <c r="C82" s="94">
        <v>44592</v>
      </c>
      <c r="D82">
        <v>51.1</v>
      </c>
      <c r="E82">
        <v>51.1</v>
      </c>
      <c r="G82">
        <v>61321000</v>
      </c>
      <c r="H82" t="s">
        <v>369</v>
      </c>
      <c r="I82" t="str">
        <f t="shared" si="1"/>
        <v>61321000 Bijdragen aan sociaal secretariaat</v>
      </c>
      <c r="J82" t="s">
        <v>364</v>
      </c>
    </row>
    <row r="83" spans="1:10" x14ac:dyDescent="0.25">
      <c r="A83" t="s">
        <v>365</v>
      </c>
      <c r="B83">
        <v>20220046</v>
      </c>
      <c r="C83" s="94">
        <v>44620</v>
      </c>
      <c r="D83">
        <v>253.17</v>
      </c>
      <c r="E83">
        <v>253.17</v>
      </c>
      <c r="G83">
        <v>61321000</v>
      </c>
      <c r="H83" t="s">
        <v>369</v>
      </c>
      <c r="I83" t="str">
        <f t="shared" si="1"/>
        <v>61321000 Bijdragen aan sociaal secretariaat</v>
      </c>
      <c r="J83" t="s">
        <v>364</v>
      </c>
    </row>
    <row r="84" spans="1:10" x14ac:dyDescent="0.25">
      <c r="A84" t="s">
        <v>365</v>
      </c>
      <c r="B84">
        <v>20220077</v>
      </c>
      <c r="C84" s="94">
        <v>44681</v>
      </c>
      <c r="D84">
        <v>103.24</v>
      </c>
      <c r="E84">
        <v>103.24</v>
      </c>
      <c r="G84">
        <v>61321000</v>
      </c>
      <c r="H84" t="s">
        <v>369</v>
      </c>
      <c r="I84" t="str">
        <f t="shared" si="1"/>
        <v>61321000 Bijdragen aan sociaal secretariaat</v>
      </c>
      <c r="J84" t="s">
        <v>364</v>
      </c>
    </row>
    <row r="85" spans="1:10" x14ac:dyDescent="0.25">
      <c r="A85">
        <v>87</v>
      </c>
      <c r="B85">
        <v>22870005</v>
      </c>
      <c r="C85" s="94">
        <v>44592</v>
      </c>
      <c r="D85">
        <v>7.05</v>
      </c>
      <c r="E85">
        <v>7.05</v>
      </c>
      <c r="F85" t="s">
        <v>476</v>
      </c>
      <c r="G85">
        <v>61332000</v>
      </c>
      <c r="H85" t="s">
        <v>111</v>
      </c>
      <c r="I85" t="str">
        <f t="shared" si="1"/>
        <v>61332000 Verzekeringen locaal</v>
      </c>
      <c r="J85" t="s">
        <v>364</v>
      </c>
    </row>
    <row r="86" spans="1:10" x14ac:dyDescent="0.25">
      <c r="A86">
        <v>87</v>
      </c>
      <c r="B86">
        <v>22870006</v>
      </c>
      <c r="C86" s="94">
        <v>44620</v>
      </c>
      <c r="D86">
        <v>6.37</v>
      </c>
      <c r="E86">
        <v>6.37</v>
      </c>
      <c r="F86" t="s">
        <v>592</v>
      </c>
      <c r="G86">
        <v>61332000</v>
      </c>
      <c r="H86" t="s">
        <v>111</v>
      </c>
      <c r="I86" t="str">
        <f t="shared" si="1"/>
        <v>61332000 Verzekeringen locaal</v>
      </c>
      <c r="J86" t="s">
        <v>364</v>
      </c>
    </row>
    <row r="87" spans="1:10" x14ac:dyDescent="0.25">
      <c r="A87">
        <v>87</v>
      </c>
      <c r="B87">
        <v>22870007</v>
      </c>
      <c r="C87" s="94">
        <v>44651</v>
      </c>
      <c r="D87">
        <v>7.05</v>
      </c>
      <c r="E87">
        <v>7.05</v>
      </c>
      <c r="F87" t="s">
        <v>476</v>
      </c>
      <c r="G87">
        <v>61332000</v>
      </c>
      <c r="H87" t="s">
        <v>111</v>
      </c>
      <c r="I87" t="str">
        <f t="shared" si="1"/>
        <v>61332000 Verzekeringen locaal</v>
      </c>
      <c r="J87" t="s">
        <v>364</v>
      </c>
    </row>
    <row r="88" spans="1:10" x14ac:dyDescent="0.25">
      <c r="A88">
        <v>87</v>
      </c>
      <c r="B88">
        <v>22870008</v>
      </c>
      <c r="C88" s="94">
        <v>44681</v>
      </c>
      <c r="D88">
        <v>6.82</v>
      </c>
      <c r="E88">
        <v>6.82</v>
      </c>
      <c r="F88" t="s">
        <v>368</v>
      </c>
      <c r="G88">
        <v>61332000</v>
      </c>
      <c r="H88" t="s">
        <v>111</v>
      </c>
      <c r="I88" t="str">
        <f t="shared" si="1"/>
        <v>61332000 Verzekeringen locaal</v>
      </c>
      <c r="J88" t="s">
        <v>364</v>
      </c>
    </row>
    <row r="89" spans="1:10" x14ac:dyDescent="0.25">
      <c r="A89">
        <v>80</v>
      </c>
      <c r="B89">
        <v>22800004</v>
      </c>
      <c r="C89" s="94">
        <v>44562</v>
      </c>
      <c r="D89">
        <v>661.41</v>
      </c>
      <c r="E89">
        <v>661.41</v>
      </c>
      <c r="F89" t="s">
        <v>662</v>
      </c>
      <c r="G89">
        <v>61333000</v>
      </c>
      <c r="H89" t="s">
        <v>107</v>
      </c>
      <c r="I89" t="str">
        <f t="shared" si="1"/>
        <v>61333000 Verzekering bedrijfswagen</v>
      </c>
      <c r="J89" t="s">
        <v>364</v>
      </c>
    </row>
    <row r="90" spans="1:10" x14ac:dyDescent="0.25">
      <c r="A90" t="s">
        <v>365</v>
      </c>
      <c r="B90">
        <v>20220033</v>
      </c>
      <c r="C90" s="94">
        <v>44566</v>
      </c>
      <c r="D90">
        <v>162.4</v>
      </c>
      <c r="E90">
        <v>162.4</v>
      </c>
      <c r="G90">
        <v>61412000</v>
      </c>
      <c r="H90" t="s">
        <v>129</v>
      </c>
      <c r="I90" t="str">
        <f t="shared" si="1"/>
        <v>61412000 Reizen en verplaatsingen</v>
      </c>
      <c r="J90" t="s">
        <v>364</v>
      </c>
    </row>
    <row r="91" spans="1:10" x14ac:dyDescent="0.25">
      <c r="A91" t="s">
        <v>365</v>
      </c>
      <c r="B91">
        <v>20220007</v>
      </c>
      <c r="C91" s="94">
        <v>44567</v>
      </c>
      <c r="D91">
        <v>51.87</v>
      </c>
      <c r="E91">
        <v>51.87</v>
      </c>
      <c r="G91">
        <v>61413000</v>
      </c>
      <c r="H91" t="s">
        <v>23</v>
      </c>
      <c r="I91" t="str">
        <f t="shared" si="1"/>
        <v>61413000 Vergadering-recepties</v>
      </c>
      <c r="J91" t="s">
        <v>364</v>
      </c>
    </row>
    <row r="92" spans="1:10" x14ac:dyDescent="0.25">
      <c r="A92" t="s">
        <v>365</v>
      </c>
      <c r="B92">
        <v>20220035</v>
      </c>
      <c r="C92" s="94">
        <v>44575</v>
      </c>
      <c r="D92">
        <v>9.75</v>
      </c>
      <c r="E92">
        <v>9.75</v>
      </c>
      <c r="G92">
        <v>61413000</v>
      </c>
      <c r="H92" t="s">
        <v>23</v>
      </c>
      <c r="I92" t="str">
        <f t="shared" si="1"/>
        <v>61413000 Vergadering-recepties</v>
      </c>
      <c r="J92" t="s">
        <v>364</v>
      </c>
    </row>
    <row r="93" spans="1:10" x14ac:dyDescent="0.25">
      <c r="A93" t="s">
        <v>365</v>
      </c>
      <c r="B93">
        <v>20220041</v>
      </c>
      <c r="C93" s="94">
        <v>44609</v>
      </c>
      <c r="D93">
        <v>12.95</v>
      </c>
      <c r="E93">
        <v>12.95</v>
      </c>
      <c r="G93">
        <v>61413000</v>
      </c>
      <c r="H93" t="s">
        <v>23</v>
      </c>
      <c r="I93" t="str">
        <f t="shared" si="1"/>
        <v>61413000 Vergadering-recepties</v>
      </c>
      <c r="J93" t="s">
        <v>364</v>
      </c>
    </row>
    <row r="94" spans="1:10" x14ac:dyDescent="0.25">
      <c r="A94" t="s">
        <v>365</v>
      </c>
      <c r="B94">
        <v>20220054</v>
      </c>
      <c r="C94" s="94">
        <v>44629</v>
      </c>
      <c r="D94">
        <v>54.71</v>
      </c>
      <c r="E94">
        <v>54.71</v>
      </c>
      <c r="G94">
        <v>61413000</v>
      </c>
      <c r="H94" t="s">
        <v>23</v>
      </c>
      <c r="I94" t="str">
        <f t="shared" si="1"/>
        <v>61413000 Vergadering-recepties</v>
      </c>
      <c r="J94" t="s">
        <v>364</v>
      </c>
    </row>
    <row r="95" spans="1:10" x14ac:dyDescent="0.25">
      <c r="A95" t="s">
        <v>365</v>
      </c>
      <c r="B95">
        <v>20220070</v>
      </c>
      <c r="C95" s="94">
        <v>44655</v>
      </c>
      <c r="D95">
        <v>7.38</v>
      </c>
      <c r="E95">
        <v>7.38</v>
      </c>
      <c r="G95">
        <v>61413000</v>
      </c>
      <c r="H95" t="s">
        <v>23</v>
      </c>
      <c r="I95" t="str">
        <f t="shared" si="1"/>
        <v>61413000 Vergadering-recepties</v>
      </c>
      <c r="J95" t="s">
        <v>364</v>
      </c>
    </row>
    <row r="96" spans="1:10" x14ac:dyDescent="0.25">
      <c r="A96" t="s">
        <v>365</v>
      </c>
      <c r="B96">
        <v>20220073</v>
      </c>
      <c r="C96" s="94">
        <v>44660</v>
      </c>
      <c r="D96">
        <v>25.9</v>
      </c>
      <c r="E96">
        <v>25.9</v>
      </c>
      <c r="G96">
        <v>61413000</v>
      </c>
      <c r="H96" t="s">
        <v>23</v>
      </c>
      <c r="I96" t="str">
        <f t="shared" si="1"/>
        <v>61413000 Vergadering-recepties</v>
      </c>
      <c r="J96" t="s">
        <v>364</v>
      </c>
    </row>
    <row r="97" spans="1:10" x14ac:dyDescent="0.25">
      <c r="A97" t="s">
        <v>365</v>
      </c>
      <c r="B97">
        <v>20220037</v>
      </c>
      <c r="C97" s="94">
        <v>44586</v>
      </c>
      <c r="D97">
        <v>7.87</v>
      </c>
      <c r="E97">
        <v>7.87</v>
      </c>
      <c r="G97">
        <v>61415000</v>
      </c>
      <c r="H97" t="s">
        <v>118</v>
      </c>
      <c r="I97" t="str">
        <f t="shared" si="1"/>
        <v>61415000 Parking</v>
      </c>
      <c r="J97" t="s">
        <v>364</v>
      </c>
    </row>
    <row r="98" spans="1:10" x14ac:dyDescent="0.25">
      <c r="A98" t="s">
        <v>365</v>
      </c>
      <c r="B98">
        <v>20220081</v>
      </c>
      <c r="C98" s="94">
        <v>44586</v>
      </c>
      <c r="D98">
        <v>7.87</v>
      </c>
      <c r="E98">
        <v>7.87</v>
      </c>
      <c r="F98" t="s">
        <v>632</v>
      </c>
      <c r="G98">
        <v>61415000</v>
      </c>
      <c r="H98" t="s">
        <v>118</v>
      </c>
      <c r="I98" t="str">
        <f t="shared" si="1"/>
        <v>61415000 Parking</v>
      </c>
      <c r="J98" t="s">
        <v>364</v>
      </c>
    </row>
    <row r="99" spans="1:10" x14ac:dyDescent="0.25">
      <c r="A99" t="s">
        <v>365</v>
      </c>
      <c r="B99">
        <v>20220061</v>
      </c>
      <c r="C99" s="94">
        <v>44645</v>
      </c>
      <c r="D99">
        <v>10.9</v>
      </c>
      <c r="E99">
        <v>10.9</v>
      </c>
      <c r="G99">
        <v>61415000</v>
      </c>
      <c r="H99" t="s">
        <v>118</v>
      </c>
      <c r="I99" t="str">
        <f t="shared" si="1"/>
        <v>61415000 Parking</v>
      </c>
      <c r="J99" t="s">
        <v>364</v>
      </c>
    </row>
    <row r="100" spans="1:10" x14ac:dyDescent="0.25">
      <c r="A100" t="s">
        <v>365</v>
      </c>
      <c r="B100">
        <v>20220088</v>
      </c>
      <c r="C100" s="94">
        <v>44676</v>
      </c>
      <c r="D100">
        <v>16.57</v>
      </c>
      <c r="E100">
        <v>16.57</v>
      </c>
      <c r="G100">
        <v>61415000</v>
      </c>
      <c r="H100" t="s">
        <v>118</v>
      </c>
      <c r="I100" t="str">
        <f t="shared" si="1"/>
        <v>61415000 Parking</v>
      </c>
      <c r="J100" t="s">
        <v>364</v>
      </c>
    </row>
    <row r="101" spans="1:10" x14ac:dyDescent="0.25">
      <c r="A101" t="s">
        <v>365</v>
      </c>
      <c r="B101">
        <v>20220032</v>
      </c>
      <c r="C101" s="94">
        <v>44605</v>
      </c>
      <c r="D101">
        <v>974</v>
      </c>
      <c r="E101">
        <v>974</v>
      </c>
      <c r="G101">
        <v>61416000</v>
      </c>
      <c r="H101" t="s">
        <v>138</v>
      </c>
      <c r="I101" t="str">
        <f t="shared" si="1"/>
        <v>61416000 Verplaatsingskosten leraars</v>
      </c>
      <c r="J101" t="s">
        <v>399</v>
      </c>
    </row>
    <row r="102" spans="1:10" x14ac:dyDescent="0.25">
      <c r="A102" t="s">
        <v>365</v>
      </c>
      <c r="B102">
        <v>20220059</v>
      </c>
      <c r="C102" s="94">
        <v>44642</v>
      </c>
      <c r="D102">
        <v>67.5</v>
      </c>
      <c r="E102">
        <v>67.5</v>
      </c>
      <c r="G102">
        <v>61513000</v>
      </c>
      <c r="H102" t="s">
        <v>114</v>
      </c>
      <c r="I102" t="str">
        <f t="shared" si="1"/>
        <v>61513000 Geschenken aan derden</v>
      </c>
      <c r="J102" t="s">
        <v>364</v>
      </c>
    </row>
    <row r="103" spans="1:10" x14ac:dyDescent="0.25">
      <c r="A103">
        <v>10</v>
      </c>
      <c r="B103">
        <v>22100070</v>
      </c>
      <c r="C103" s="94">
        <v>44656</v>
      </c>
      <c r="D103">
        <v>100</v>
      </c>
      <c r="E103">
        <v>100</v>
      </c>
      <c r="F103" t="s">
        <v>459</v>
      </c>
      <c r="G103">
        <v>61540000</v>
      </c>
      <c r="H103" t="s">
        <v>383</v>
      </c>
      <c r="I103" t="str">
        <f t="shared" si="1"/>
        <v>61540000 Prijs atic - marcel herman</v>
      </c>
      <c r="J103" t="s">
        <v>382</v>
      </c>
    </row>
    <row r="104" spans="1:10" x14ac:dyDescent="0.25">
      <c r="A104">
        <v>10</v>
      </c>
      <c r="B104">
        <v>22100070</v>
      </c>
      <c r="C104" s="94">
        <v>44656</v>
      </c>
      <c r="D104">
        <v>100</v>
      </c>
      <c r="E104">
        <v>100</v>
      </c>
      <c r="F104" t="s">
        <v>453</v>
      </c>
      <c r="G104">
        <v>61540000</v>
      </c>
      <c r="H104" t="s">
        <v>383</v>
      </c>
      <c r="I104" t="str">
        <f t="shared" si="1"/>
        <v>61540000 Prijs atic - marcel herman</v>
      </c>
      <c r="J104" t="s">
        <v>382</v>
      </c>
    </row>
    <row r="105" spans="1:10" x14ac:dyDescent="0.25">
      <c r="A105">
        <v>10</v>
      </c>
      <c r="B105">
        <v>22100085</v>
      </c>
      <c r="C105" s="94">
        <v>44676</v>
      </c>
      <c r="D105">
        <v>100</v>
      </c>
      <c r="E105">
        <v>100</v>
      </c>
      <c r="F105" t="s">
        <v>402</v>
      </c>
      <c r="G105">
        <v>61540000</v>
      </c>
      <c r="H105" t="s">
        <v>383</v>
      </c>
      <c r="I105" t="str">
        <f t="shared" si="1"/>
        <v>61540000 Prijs atic - marcel herman</v>
      </c>
      <c r="J105" t="s">
        <v>382</v>
      </c>
    </row>
    <row r="106" spans="1:10" x14ac:dyDescent="0.25">
      <c r="A106">
        <v>10</v>
      </c>
      <c r="B106">
        <v>22100086</v>
      </c>
      <c r="C106" s="94">
        <v>44677</v>
      </c>
      <c r="D106">
        <v>200</v>
      </c>
      <c r="E106">
        <v>200</v>
      </c>
      <c r="F106" t="s">
        <v>395</v>
      </c>
      <c r="G106">
        <v>61540000</v>
      </c>
      <c r="H106" t="s">
        <v>383</v>
      </c>
      <c r="I106" t="str">
        <f t="shared" si="1"/>
        <v>61540000 Prijs atic - marcel herman</v>
      </c>
      <c r="J106" t="s">
        <v>382</v>
      </c>
    </row>
    <row r="107" spans="1:10" x14ac:dyDescent="0.25">
      <c r="A107">
        <v>10</v>
      </c>
      <c r="B107">
        <v>22100086</v>
      </c>
      <c r="C107" s="94">
        <v>44677</v>
      </c>
      <c r="D107">
        <v>200</v>
      </c>
      <c r="E107">
        <v>200</v>
      </c>
      <c r="F107" t="s">
        <v>389</v>
      </c>
      <c r="G107">
        <v>61540000</v>
      </c>
      <c r="H107" t="s">
        <v>383</v>
      </c>
      <c r="I107" t="str">
        <f t="shared" si="1"/>
        <v>61540000 Prijs atic - marcel herman</v>
      </c>
      <c r="J107" t="s">
        <v>382</v>
      </c>
    </row>
    <row r="108" spans="1:10" x14ac:dyDescent="0.25">
      <c r="A108">
        <v>10</v>
      </c>
      <c r="B108">
        <v>22100086</v>
      </c>
      <c r="C108" s="94">
        <v>44677</v>
      </c>
      <c r="D108">
        <v>100</v>
      </c>
      <c r="E108">
        <v>100</v>
      </c>
      <c r="F108" t="s">
        <v>388</v>
      </c>
      <c r="G108">
        <v>61540000</v>
      </c>
      <c r="H108" t="s">
        <v>383</v>
      </c>
      <c r="I108" t="str">
        <f t="shared" si="1"/>
        <v>61540000 Prijs atic - marcel herman</v>
      </c>
      <c r="J108" t="s">
        <v>382</v>
      </c>
    </row>
    <row r="109" spans="1:10" x14ac:dyDescent="0.25">
      <c r="A109">
        <v>10</v>
      </c>
      <c r="B109">
        <v>22100087</v>
      </c>
      <c r="C109" s="94">
        <v>44678</v>
      </c>
      <c r="D109">
        <v>100</v>
      </c>
      <c r="E109">
        <v>100</v>
      </c>
      <c r="F109" t="s">
        <v>378</v>
      </c>
      <c r="G109">
        <v>61540000</v>
      </c>
      <c r="H109" t="s">
        <v>383</v>
      </c>
      <c r="I109" t="str">
        <f t="shared" si="1"/>
        <v>61540000 Prijs atic - marcel herman</v>
      </c>
      <c r="J109" t="s">
        <v>382</v>
      </c>
    </row>
    <row r="110" spans="1:10" x14ac:dyDescent="0.25">
      <c r="A110" t="s">
        <v>365</v>
      </c>
      <c r="B110">
        <v>20220045</v>
      </c>
      <c r="C110" s="94">
        <v>44620</v>
      </c>
      <c r="D110">
        <v>383.57</v>
      </c>
      <c r="E110">
        <v>383.57</v>
      </c>
      <c r="G110">
        <v>61624000</v>
      </c>
      <c r="H110" t="s">
        <v>594</v>
      </c>
      <c r="I110" t="str">
        <f t="shared" si="1"/>
        <v>61624000 Passiefhuis platform</v>
      </c>
      <c r="J110" t="s">
        <v>593</v>
      </c>
    </row>
    <row r="111" spans="1:10" x14ac:dyDescent="0.25">
      <c r="A111">
        <v>84</v>
      </c>
      <c r="B111">
        <v>22840001</v>
      </c>
      <c r="C111" s="94">
        <v>44594</v>
      </c>
      <c r="D111">
        <v>-141.66</v>
      </c>
      <c r="E111">
        <v>-141.66</v>
      </c>
      <c r="F111" t="s">
        <v>415</v>
      </c>
      <c r="G111">
        <v>62020000</v>
      </c>
      <c r="H111" t="s">
        <v>413</v>
      </c>
      <c r="I111" t="str">
        <f t="shared" si="1"/>
        <v>62020000 Bedienden bruto</v>
      </c>
      <c r="J111" t="s">
        <v>375</v>
      </c>
    </row>
    <row r="112" spans="1:10" x14ac:dyDescent="0.25">
      <c r="A112">
        <v>84</v>
      </c>
      <c r="B112">
        <v>22840001</v>
      </c>
      <c r="C112" s="94">
        <v>44594</v>
      </c>
      <c r="D112" s="61">
        <v>5352.46</v>
      </c>
      <c r="E112" s="61">
        <v>5352.46</v>
      </c>
      <c r="F112" t="s">
        <v>623</v>
      </c>
      <c r="G112">
        <v>62020000</v>
      </c>
      <c r="H112" t="s">
        <v>413</v>
      </c>
      <c r="I112" t="str">
        <f t="shared" si="1"/>
        <v>62020000 Bedienden bruto</v>
      </c>
      <c r="J112" t="s">
        <v>375</v>
      </c>
    </row>
    <row r="113" spans="1:10" x14ac:dyDescent="0.25">
      <c r="A113">
        <v>84</v>
      </c>
      <c r="B113">
        <v>22840001</v>
      </c>
      <c r="C113" s="94">
        <v>44594</v>
      </c>
      <c r="D113">
        <v>100</v>
      </c>
      <c r="E113">
        <v>100</v>
      </c>
      <c r="F113" t="s">
        <v>417</v>
      </c>
      <c r="G113">
        <v>62020000</v>
      </c>
      <c r="H113" t="s">
        <v>413</v>
      </c>
      <c r="I113" t="str">
        <f t="shared" si="1"/>
        <v>62020000 Bedienden bruto</v>
      </c>
      <c r="J113" t="s">
        <v>375</v>
      </c>
    </row>
    <row r="114" spans="1:10" x14ac:dyDescent="0.25">
      <c r="A114">
        <v>84</v>
      </c>
      <c r="B114">
        <v>22840001</v>
      </c>
      <c r="C114" s="94">
        <v>44594</v>
      </c>
      <c r="D114">
        <v>118.9</v>
      </c>
      <c r="E114">
        <v>118.9</v>
      </c>
      <c r="F114" t="s">
        <v>419</v>
      </c>
      <c r="G114">
        <v>62020000</v>
      </c>
      <c r="H114" t="s">
        <v>413</v>
      </c>
      <c r="I114" t="str">
        <f t="shared" si="1"/>
        <v>62020000 Bedienden bruto</v>
      </c>
      <c r="J114" t="s">
        <v>375</v>
      </c>
    </row>
    <row r="115" spans="1:10" x14ac:dyDescent="0.25">
      <c r="A115">
        <v>84</v>
      </c>
      <c r="B115">
        <v>22840001</v>
      </c>
      <c r="C115" s="94">
        <v>44594</v>
      </c>
      <c r="D115">
        <v>125</v>
      </c>
      <c r="E115">
        <v>125</v>
      </c>
      <c r="F115" t="s">
        <v>416</v>
      </c>
      <c r="G115">
        <v>62020000</v>
      </c>
      <c r="H115" t="s">
        <v>413</v>
      </c>
      <c r="I115" t="str">
        <f t="shared" si="1"/>
        <v>62020000 Bedienden bruto</v>
      </c>
      <c r="J115" t="s">
        <v>375</v>
      </c>
    </row>
    <row r="116" spans="1:10" x14ac:dyDescent="0.25">
      <c r="A116">
        <v>84</v>
      </c>
      <c r="B116">
        <v>22840001</v>
      </c>
      <c r="C116" s="94">
        <v>44594</v>
      </c>
      <c r="D116">
        <v>-118.9</v>
      </c>
      <c r="E116">
        <v>-118.9</v>
      </c>
      <c r="F116" t="s">
        <v>420</v>
      </c>
      <c r="G116">
        <v>62020000</v>
      </c>
      <c r="H116" t="s">
        <v>413</v>
      </c>
      <c r="I116" t="str">
        <f t="shared" si="1"/>
        <v>62020000 Bedienden bruto</v>
      </c>
      <c r="J116" t="s">
        <v>375</v>
      </c>
    </row>
    <row r="117" spans="1:10" x14ac:dyDescent="0.25">
      <c r="A117">
        <v>84</v>
      </c>
      <c r="B117">
        <v>22840002</v>
      </c>
      <c r="C117" s="94">
        <v>44622</v>
      </c>
      <c r="D117">
        <v>107.4</v>
      </c>
      <c r="E117">
        <v>107.4</v>
      </c>
      <c r="F117" t="s">
        <v>419</v>
      </c>
      <c r="G117">
        <v>62020000</v>
      </c>
      <c r="H117" t="s">
        <v>413</v>
      </c>
      <c r="I117" t="str">
        <f t="shared" si="1"/>
        <v>62020000 Bedienden bruto</v>
      </c>
      <c r="J117" t="s">
        <v>375</v>
      </c>
    </row>
    <row r="118" spans="1:10" x14ac:dyDescent="0.25">
      <c r="A118">
        <v>84</v>
      </c>
      <c r="B118">
        <v>22840002</v>
      </c>
      <c r="C118" s="94">
        <v>44622</v>
      </c>
      <c r="D118">
        <v>-141.66</v>
      </c>
      <c r="E118">
        <v>-141.66</v>
      </c>
      <c r="F118" t="s">
        <v>415</v>
      </c>
      <c r="G118">
        <v>62020000</v>
      </c>
      <c r="H118" t="s">
        <v>413</v>
      </c>
      <c r="I118" t="str">
        <f t="shared" si="1"/>
        <v>62020000 Bedienden bruto</v>
      </c>
      <c r="J118" t="s">
        <v>375</v>
      </c>
    </row>
    <row r="119" spans="1:10" x14ac:dyDescent="0.25">
      <c r="A119">
        <v>84</v>
      </c>
      <c r="B119">
        <v>22840002</v>
      </c>
      <c r="C119" s="94">
        <v>44622</v>
      </c>
      <c r="D119" s="61">
        <v>5352.46</v>
      </c>
      <c r="E119" s="61">
        <v>5352.46</v>
      </c>
      <c r="F119" t="s">
        <v>589</v>
      </c>
      <c r="G119">
        <v>62020000</v>
      </c>
      <c r="H119" t="s">
        <v>413</v>
      </c>
      <c r="I119" t="str">
        <f t="shared" si="1"/>
        <v>62020000 Bedienden bruto</v>
      </c>
      <c r="J119" t="s">
        <v>375</v>
      </c>
    </row>
    <row r="120" spans="1:10" x14ac:dyDescent="0.25">
      <c r="A120">
        <v>84</v>
      </c>
      <c r="B120">
        <v>22840002</v>
      </c>
      <c r="C120" s="94">
        <v>44622</v>
      </c>
      <c r="D120">
        <v>-107.4</v>
      </c>
      <c r="E120">
        <v>-107.4</v>
      </c>
      <c r="F120" t="s">
        <v>420</v>
      </c>
      <c r="G120">
        <v>62020000</v>
      </c>
      <c r="H120" t="s">
        <v>413</v>
      </c>
      <c r="I120" t="str">
        <f t="shared" si="1"/>
        <v>62020000 Bedienden bruto</v>
      </c>
      <c r="J120" t="s">
        <v>375</v>
      </c>
    </row>
    <row r="121" spans="1:10" x14ac:dyDescent="0.25">
      <c r="A121">
        <v>84</v>
      </c>
      <c r="B121">
        <v>22840002</v>
      </c>
      <c r="C121" s="94">
        <v>44622</v>
      </c>
      <c r="D121">
        <v>125</v>
      </c>
      <c r="E121">
        <v>125</v>
      </c>
      <c r="F121" t="s">
        <v>416</v>
      </c>
      <c r="G121">
        <v>62020000</v>
      </c>
      <c r="H121" t="s">
        <v>413</v>
      </c>
      <c r="I121" t="str">
        <f t="shared" si="1"/>
        <v>62020000 Bedienden bruto</v>
      </c>
      <c r="J121" t="s">
        <v>375</v>
      </c>
    </row>
    <row r="122" spans="1:10" x14ac:dyDescent="0.25">
      <c r="A122">
        <v>84</v>
      </c>
      <c r="B122">
        <v>22840002</v>
      </c>
      <c r="C122" s="94">
        <v>44622</v>
      </c>
      <c r="D122">
        <v>100</v>
      </c>
      <c r="E122">
        <v>100</v>
      </c>
      <c r="F122" t="s">
        <v>417</v>
      </c>
      <c r="G122">
        <v>62020000</v>
      </c>
      <c r="H122" t="s">
        <v>413</v>
      </c>
      <c r="I122" t="str">
        <f t="shared" si="1"/>
        <v>62020000 Bedienden bruto</v>
      </c>
      <c r="J122" t="s">
        <v>375</v>
      </c>
    </row>
    <row r="123" spans="1:10" x14ac:dyDescent="0.25">
      <c r="A123">
        <v>84</v>
      </c>
      <c r="B123">
        <v>22840004</v>
      </c>
      <c r="C123" s="94">
        <v>44652</v>
      </c>
      <c r="D123">
        <v>-141.66</v>
      </c>
      <c r="E123">
        <v>-141.66</v>
      </c>
      <c r="F123" t="s">
        <v>466</v>
      </c>
      <c r="G123">
        <v>62020000</v>
      </c>
      <c r="H123" t="s">
        <v>413</v>
      </c>
      <c r="I123" t="str">
        <f t="shared" si="1"/>
        <v>62020000 Bedienden bruto</v>
      </c>
      <c r="J123" t="s">
        <v>375</v>
      </c>
    </row>
    <row r="124" spans="1:10" x14ac:dyDescent="0.25">
      <c r="A124">
        <v>84</v>
      </c>
      <c r="B124">
        <v>22840004</v>
      </c>
      <c r="C124" s="94">
        <v>44652</v>
      </c>
      <c r="D124">
        <v>-118.9</v>
      </c>
      <c r="E124">
        <v>-118.9</v>
      </c>
      <c r="F124" t="s">
        <v>466</v>
      </c>
      <c r="G124">
        <v>62020000</v>
      </c>
      <c r="H124" t="s">
        <v>413</v>
      </c>
      <c r="I124" t="str">
        <f t="shared" si="1"/>
        <v>62020000 Bedienden bruto</v>
      </c>
      <c r="J124" t="s">
        <v>375</v>
      </c>
    </row>
    <row r="125" spans="1:10" x14ac:dyDescent="0.25">
      <c r="A125">
        <v>84</v>
      </c>
      <c r="B125">
        <v>22840004</v>
      </c>
      <c r="C125" s="94">
        <v>44652</v>
      </c>
      <c r="D125">
        <v>118.9</v>
      </c>
      <c r="E125">
        <v>118.9</v>
      </c>
      <c r="F125" t="s">
        <v>466</v>
      </c>
      <c r="G125">
        <v>62020000</v>
      </c>
      <c r="H125" t="s">
        <v>413</v>
      </c>
      <c r="I125" t="str">
        <f t="shared" si="1"/>
        <v>62020000 Bedienden bruto</v>
      </c>
      <c r="J125" t="s">
        <v>375</v>
      </c>
    </row>
    <row r="126" spans="1:10" x14ac:dyDescent="0.25">
      <c r="A126">
        <v>84</v>
      </c>
      <c r="B126">
        <v>22840004</v>
      </c>
      <c r="C126" s="94">
        <v>44652</v>
      </c>
      <c r="D126">
        <v>90</v>
      </c>
      <c r="E126">
        <v>90</v>
      </c>
      <c r="F126" t="s">
        <v>466</v>
      </c>
      <c r="G126">
        <v>62020000</v>
      </c>
      <c r="H126" t="s">
        <v>413</v>
      </c>
      <c r="I126" t="str">
        <f t="shared" si="1"/>
        <v>62020000 Bedienden bruto</v>
      </c>
      <c r="J126" t="s">
        <v>375</v>
      </c>
    </row>
    <row r="127" spans="1:10" x14ac:dyDescent="0.25">
      <c r="A127">
        <v>84</v>
      </c>
      <c r="B127">
        <v>22840004</v>
      </c>
      <c r="C127" s="94">
        <v>44652</v>
      </c>
      <c r="D127" s="61">
        <v>5352.46</v>
      </c>
      <c r="E127" s="61">
        <v>5352.46</v>
      </c>
      <c r="F127" t="s">
        <v>466</v>
      </c>
      <c r="G127">
        <v>62020000</v>
      </c>
      <c r="H127" t="s">
        <v>413</v>
      </c>
      <c r="I127" t="str">
        <f t="shared" si="1"/>
        <v>62020000 Bedienden bruto</v>
      </c>
      <c r="J127" t="s">
        <v>375</v>
      </c>
    </row>
    <row r="128" spans="1:10" x14ac:dyDescent="0.25">
      <c r="A128">
        <v>84</v>
      </c>
      <c r="B128">
        <v>22840004</v>
      </c>
      <c r="C128" s="94">
        <v>44652</v>
      </c>
      <c r="D128">
        <v>125</v>
      </c>
      <c r="E128">
        <v>125</v>
      </c>
      <c r="F128" t="s">
        <v>466</v>
      </c>
      <c r="G128">
        <v>62020000</v>
      </c>
      <c r="H128" t="s">
        <v>413</v>
      </c>
      <c r="I128" t="str">
        <f t="shared" si="1"/>
        <v>62020000 Bedienden bruto</v>
      </c>
      <c r="J128" t="s">
        <v>375</v>
      </c>
    </row>
    <row r="129" spans="1:10" x14ac:dyDescent="0.25">
      <c r="A129">
        <v>84</v>
      </c>
      <c r="B129">
        <v>22840003</v>
      </c>
      <c r="C129" s="94">
        <v>44671</v>
      </c>
      <c r="D129">
        <v>-118.9</v>
      </c>
      <c r="E129">
        <v>-118.9</v>
      </c>
      <c r="F129" t="s">
        <v>420</v>
      </c>
      <c r="G129">
        <v>62020000</v>
      </c>
      <c r="H129" t="s">
        <v>413</v>
      </c>
      <c r="I129" t="str">
        <f t="shared" si="1"/>
        <v>62020000 Bedienden bruto</v>
      </c>
      <c r="J129" t="s">
        <v>375</v>
      </c>
    </row>
    <row r="130" spans="1:10" x14ac:dyDescent="0.25">
      <c r="A130">
        <v>84</v>
      </c>
      <c r="B130">
        <v>22840003</v>
      </c>
      <c r="C130" s="94">
        <v>44671</v>
      </c>
      <c r="D130">
        <v>118.9</v>
      </c>
      <c r="E130">
        <v>118.9</v>
      </c>
      <c r="F130" t="s">
        <v>419</v>
      </c>
      <c r="G130">
        <v>62020000</v>
      </c>
      <c r="H130" t="s">
        <v>413</v>
      </c>
      <c r="I130" t="str">
        <f t="shared" ref="I130:I193" si="2">CONCATENATE(G130," ",H130)</f>
        <v>62020000 Bedienden bruto</v>
      </c>
      <c r="J130" t="s">
        <v>375</v>
      </c>
    </row>
    <row r="131" spans="1:10" x14ac:dyDescent="0.25">
      <c r="A131">
        <v>84</v>
      </c>
      <c r="B131">
        <v>22840003</v>
      </c>
      <c r="C131" s="94">
        <v>44671</v>
      </c>
      <c r="D131">
        <v>90</v>
      </c>
      <c r="E131">
        <v>90</v>
      </c>
      <c r="F131" t="s">
        <v>417</v>
      </c>
      <c r="G131">
        <v>62020000</v>
      </c>
      <c r="H131" t="s">
        <v>413</v>
      </c>
      <c r="I131" t="str">
        <f t="shared" si="2"/>
        <v>62020000 Bedienden bruto</v>
      </c>
      <c r="J131" t="s">
        <v>375</v>
      </c>
    </row>
    <row r="132" spans="1:10" x14ac:dyDescent="0.25">
      <c r="A132">
        <v>84</v>
      </c>
      <c r="B132">
        <v>22840003</v>
      </c>
      <c r="C132" s="94">
        <v>44671</v>
      </c>
      <c r="D132">
        <v>125</v>
      </c>
      <c r="E132">
        <v>125</v>
      </c>
      <c r="F132" t="s">
        <v>416</v>
      </c>
      <c r="G132">
        <v>62020000</v>
      </c>
      <c r="H132" t="s">
        <v>413</v>
      </c>
      <c r="I132" t="str">
        <f t="shared" si="2"/>
        <v>62020000 Bedienden bruto</v>
      </c>
      <c r="J132" t="s">
        <v>375</v>
      </c>
    </row>
    <row r="133" spans="1:10" x14ac:dyDescent="0.25">
      <c r="A133">
        <v>84</v>
      </c>
      <c r="B133">
        <v>22840003</v>
      </c>
      <c r="C133" s="94">
        <v>44671</v>
      </c>
      <c r="D133">
        <v>-141.66</v>
      </c>
      <c r="E133">
        <v>-141.66</v>
      </c>
      <c r="F133" t="s">
        <v>415</v>
      </c>
      <c r="G133">
        <v>62020000</v>
      </c>
      <c r="H133" t="s">
        <v>413</v>
      </c>
      <c r="I133" t="str">
        <f t="shared" si="2"/>
        <v>62020000 Bedienden bruto</v>
      </c>
      <c r="J133" t="s">
        <v>375</v>
      </c>
    </row>
    <row r="134" spans="1:10" x14ac:dyDescent="0.25">
      <c r="A134">
        <v>84</v>
      </c>
      <c r="B134">
        <v>22840003</v>
      </c>
      <c r="C134" s="94">
        <v>44671</v>
      </c>
      <c r="D134" s="61">
        <v>5352.46</v>
      </c>
      <c r="E134" s="61">
        <v>5352.46</v>
      </c>
      <c r="F134" t="s">
        <v>414</v>
      </c>
      <c r="G134">
        <v>62020000</v>
      </c>
      <c r="H134" t="s">
        <v>413</v>
      </c>
      <c r="I134" t="str">
        <f t="shared" si="2"/>
        <v>62020000 Bedienden bruto</v>
      </c>
      <c r="J134" t="s">
        <v>375</v>
      </c>
    </row>
    <row r="135" spans="1:10" x14ac:dyDescent="0.25">
      <c r="A135">
        <v>84</v>
      </c>
      <c r="B135">
        <v>22840001</v>
      </c>
      <c r="C135" s="94">
        <v>44594</v>
      </c>
      <c r="D135">
        <v>49.03</v>
      </c>
      <c r="E135">
        <v>49.03</v>
      </c>
      <c r="F135" t="s">
        <v>418</v>
      </c>
      <c r="G135">
        <v>62111000</v>
      </c>
      <c r="H135" t="s">
        <v>137</v>
      </c>
      <c r="I135" t="str">
        <f t="shared" si="2"/>
        <v>62111000 Werkgeversbijdragen</v>
      </c>
      <c r="J135" t="s">
        <v>375</v>
      </c>
    </row>
    <row r="136" spans="1:10" x14ac:dyDescent="0.25">
      <c r="A136">
        <v>84</v>
      </c>
      <c r="B136">
        <v>22840002</v>
      </c>
      <c r="C136" s="94">
        <v>44622</v>
      </c>
      <c r="D136">
        <v>44.75</v>
      </c>
      <c r="E136">
        <v>44.75</v>
      </c>
      <c r="F136" t="s">
        <v>418</v>
      </c>
      <c r="G136">
        <v>62111000</v>
      </c>
      <c r="H136" t="s">
        <v>137</v>
      </c>
      <c r="I136" t="str">
        <f t="shared" si="2"/>
        <v>62111000 Werkgeversbijdragen</v>
      </c>
      <c r="J136" t="s">
        <v>375</v>
      </c>
    </row>
    <row r="137" spans="1:10" x14ac:dyDescent="0.25">
      <c r="A137">
        <v>84</v>
      </c>
      <c r="B137">
        <v>22840004</v>
      </c>
      <c r="C137" s="94">
        <v>44652</v>
      </c>
      <c r="D137">
        <v>61.27</v>
      </c>
      <c r="E137">
        <v>61.27</v>
      </c>
      <c r="F137" t="s">
        <v>466</v>
      </c>
      <c r="G137">
        <v>62111000</v>
      </c>
      <c r="H137" t="s">
        <v>137</v>
      </c>
      <c r="I137" t="str">
        <f t="shared" si="2"/>
        <v>62111000 Werkgeversbijdragen</v>
      </c>
      <c r="J137" t="s">
        <v>375</v>
      </c>
    </row>
    <row r="138" spans="1:10" x14ac:dyDescent="0.25">
      <c r="A138">
        <v>84</v>
      </c>
      <c r="B138">
        <v>22840003</v>
      </c>
      <c r="C138" s="94">
        <v>44671</v>
      </c>
      <c r="D138">
        <v>61.27</v>
      </c>
      <c r="E138">
        <v>61.27</v>
      </c>
      <c r="F138" t="s">
        <v>418</v>
      </c>
      <c r="G138">
        <v>62111000</v>
      </c>
      <c r="H138" t="s">
        <v>137</v>
      </c>
      <c r="I138" t="str">
        <f t="shared" si="2"/>
        <v>62111000 Werkgeversbijdragen</v>
      </c>
      <c r="J138" t="s">
        <v>375</v>
      </c>
    </row>
    <row r="139" spans="1:10" x14ac:dyDescent="0.25">
      <c r="A139">
        <v>10</v>
      </c>
      <c r="B139">
        <v>22100065</v>
      </c>
      <c r="C139" s="94">
        <v>44649</v>
      </c>
      <c r="D139">
        <v>438.63</v>
      </c>
      <c r="E139">
        <v>438.63</v>
      </c>
      <c r="F139" t="s">
        <v>373</v>
      </c>
      <c r="G139">
        <v>62115000</v>
      </c>
      <c r="H139" t="s">
        <v>377</v>
      </c>
      <c r="I139" t="str">
        <f t="shared" si="2"/>
        <v>62115000 Groepsverzekering</v>
      </c>
      <c r="J139" t="s">
        <v>375</v>
      </c>
    </row>
    <row r="140" spans="1:10" x14ac:dyDescent="0.25">
      <c r="A140">
        <v>10</v>
      </c>
      <c r="B140">
        <v>22100088</v>
      </c>
      <c r="C140" s="94">
        <v>44679</v>
      </c>
      <c r="D140">
        <v>438.63</v>
      </c>
      <c r="E140">
        <v>438.63</v>
      </c>
      <c r="F140" t="s">
        <v>373</v>
      </c>
      <c r="G140">
        <v>62115000</v>
      </c>
      <c r="H140" t="s">
        <v>377</v>
      </c>
      <c r="I140" t="str">
        <f t="shared" si="2"/>
        <v>62115000 Groepsverzekering</v>
      </c>
      <c r="J140" t="s">
        <v>375</v>
      </c>
    </row>
    <row r="141" spans="1:10" x14ac:dyDescent="0.25">
      <c r="A141" t="s">
        <v>365</v>
      </c>
      <c r="B141">
        <v>20220010</v>
      </c>
      <c r="C141" s="94">
        <v>44555</v>
      </c>
      <c r="D141">
        <v>444.62</v>
      </c>
      <c r="E141">
        <v>444.62</v>
      </c>
      <c r="G141">
        <v>62300000</v>
      </c>
      <c r="H141" t="s">
        <v>626</v>
      </c>
      <c r="I141" t="str">
        <f t="shared" si="2"/>
        <v>62300000 Verzekering</v>
      </c>
      <c r="J141" t="s">
        <v>364</v>
      </c>
    </row>
    <row r="142" spans="1:10" x14ac:dyDescent="0.25">
      <c r="A142">
        <v>87</v>
      </c>
      <c r="B142">
        <v>22870017</v>
      </c>
      <c r="C142" s="94">
        <v>44562</v>
      </c>
      <c r="D142">
        <v>218.5</v>
      </c>
      <c r="E142">
        <v>218.5</v>
      </c>
      <c r="F142" t="s">
        <v>664</v>
      </c>
      <c r="G142">
        <v>62300000</v>
      </c>
      <c r="H142" t="s">
        <v>626</v>
      </c>
      <c r="I142" t="str">
        <f t="shared" si="2"/>
        <v>62300000 Verzekering</v>
      </c>
      <c r="J142" t="s">
        <v>364</v>
      </c>
    </row>
    <row r="143" spans="1:10" x14ac:dyDescent="0.25">
      <c r="A143" t="s">
        <v>365</v>
      </c>
      <c r="B143">
        <v>20220012</v>
      </c>
      <c r="C143" s="94">
        <v>44562</v>
      </c>
      <c r="D143">
        <v>438.63</v>
      </c>
      <c r="E143">
        <v>438.63</v>
      </c>
      <c r="F143" s="128">
        <v>44562</v>
      </c>
      <c r="G143">
        <v>62300000</v>
      </c>
      <c r="H143" t="s">
        <v>626</v>
      </c>
      <c r="I143" t="str">
        <f t="shared" si="2"/>
        <v>62300000 Verzekering</v>
      </c>
      <c r="J143" t="s">
        <v>375</v>
      </c>
    </row>
    <row r="144" spans="1:10" x14ac:dyDescent="0.25">
      <c r="A144" t="s">
        <v>365</v>
      </c>
      <c r="B144">
        <v>20220024</v>
      </c>
      <c r="C144" s="94">
        <v>44593</v>
      </c>
      <c r="D144">
        <v>438.63</v>
      </c>
      <c r="E144">
        <v>438.63</v>
      </c>
      <c r="G144">
        <v>62300000</v>
      </c>
      <c r="H144" t="s">
        <v>626</v>
      </c>
      <c r="I144" t="str">
        <f t="shared" si="2"/>
        <v>62300000 Verzekering</v>
      </c>
      <c r="J144" t="s">
        <v>375</v>
      </c>
    </row>
    <row r="145" spans="1:10" x14ac:dyDescent="0.25">
      <c r="A145" t="s">
        <v>365</v>
      </c>
      <c r="B145">
        <v>20220057</v>
      </c>
      <c r="C145" s="94">
        <v>44637</v>
      </c>
      <c r="D145">
        <v>301.75</v>
      </c>
      <c r="E145">
        <v>301.75</v>
      </c>
      <c r="G145">
        <v>62301000</v>
      </c>
      <c r="H145" t="s">
        <v>175</v>
      </c>
      <c r="I145" t="str">
        <f t="shared" si="2"/>
        <v>62301000 Andere personeelskosten</v>
      </c>
      <c r="J145" t="s">
        <v>375</v>
      </c>
    </row>
    <row r="146" spans="1:10" x14ac:dyDescent="0.25">
      <c r="A146">
        <v>84</v>
      </c>
      <c r="B146">
        <v>22840001</v>
      </c>
      <c r="C146" s="94">
        <v>44594</v>
      </c>
      <c r="D146">
        <v>-21.8</v>
      </c>
      <c r="E146">
        <v>-21.8</v>
      </c>
      <c r="F146" t="s">
        <v>421</v>
      </c>
      <c r="G146">
        <v>62311000</v>
      </c>
      <c r="H146" t="s">
        <v>376</v>
      </c>
      <c r="I146" t="str">
        <f t="shared" si="2"/>
        <v>62311000 Maaltijdcheques + eco cheques</v>
      </c>
      <c r="J146" t="s">
        <v>375</v>
      </c>
    </row>
    <row r="147" spans="1:10" x14ac:dyDescent="0.25">
      <c r="A147" t="s">
        <v>365</v>
      </c>
      <c r="B147">
        <v>20220028</v>
      </c>
      <c r="C147" s="94">
        <v>44602</v>
      </c>
      <c r="D147">
        <v>160</v>
      </c>
      <c r="E147">
        <v>160</v>
      </c>
      <c r="F147" t="s">
        <v>616</v>
      </c>
      <c r="G147">
        <v>62311000</v>
      </c>
      <c r="H147" t="s">
        <v>376</v>
      </c>
      <c r="I147" t="str">
        <f t="shared" si="2"/>
        <v>62311000 Maaltijdcheques + eco cheques</v>
      </c>
      <c r="J147" t="s">
        <v>375</v>
      </c>
    </row>
    <row r="148" spans="1:10" x14ac:dyDescent="0.25">
      <c r="A148">
        <v>84</v>
      </c>
      <c r="B148">
        <v>22840002</v>
      </c>
      <c r="C148" s="94">
        <v>44622</v>
      </c>
      <c r="D148">
        <v>-21.8</v>
      </c>
      <c r="E148">
        <v>-21.8</v>
      </c>
      <c r="F148" t="s">
        <v>421</v>
      </c>
      <c r="G148">
        <v>62311000</v>
      </c>
      <c r="H148" t="s">
        <v>376</v>
      </c>
      <c r="I148" t="str">
        <f t="shared" si="2"/>
        <v>62311000 Maaltijdcheques + eco cheques</v>
      </c>
      <c r="J148" t="s">
        <v>375</v>
      </c>
    </row>
    <row r="149" spans="1:10" x14ac:dyDescent="0.25">
      <c r="A149">
        <v>84</v>
      </c>
      <c r="B149">
        <v>22840004</v>
      </c>
      <c r="C149" s="94">
        <v>44652</v>
      </c>
      <c r="D149">
        <v>-25.07</v>
      </c>
      <c r="E149">
        <v>-25.07</v>
      </c>
      <c r="F149" t="s">
        <v>466</v>
      </c>
      <c r="G149">
        <v>62311000</v>
      </c>
      <c r="H149" t="s">
        <v>376</v>
      </c>
      <c r="I149" t="str">
        <f t="shared" si="2"/>
        <v>62311000 Maaltijdcheques + eco cheques</v>
      </c>
      <c r="J149" t="s">
        <v>375</v>
      </c>
    </row>
    <row r="150" spans="1:10" x14ac:dyDescent="0.25">
      <c r="A150" t="s">
        <v>365</v>
      </c>
      <c r="B150">
        <v>20220084</v>
      </c>
      <c r="C150" s="94">
        <v>44664</v>
      </c>
      <c r="D150">
        <v>184</v>
      </c>
      <c r="E150">
        <v>184</v>
      </c>
      <c r="G150">
        <v>62311000</v>
      </c>
      <c r="H150" t="s">
        <v>376</v>
      </c>
      <c r="I150" t="str">
        <f t="shared" si="2"/>
        <v>62311000 Maaltijdcheques + eco cheques</v>
      </c>
      <c r="J150" t="s">
        <v>375</v>
      </c>
    </row>
    <row r="151" spans="1:10" x14ac:dyDescent="0.25">
      <c r="A151" t="s">
        <v>365</v>
      </c>
      <c r="B151">
        <v>20220074</v>
      </c>
      <c r="C151" s="94">
        <v>44664</v>
      </c>
      <c r="D151">
        <v>184</v>
      </c>
      <c r="E151">
        <v>184</v>
      </c>
      <c r="F151" t="s">
        <v>434</v>
      </c>
      <c r="G151">
        <v>62311000</v>
      </c>
      <c r="H151" t="s">
        <v>376</v>
      </c>
      <c r="I151" t="str">
        <f t="shared" si="2"/>
        <v>62311000 Maaltijdcheques + eco cheques</v>
      </c>
      <c r="J151" t="s">
        <v>375</v>
      </c>
    </row>
    <row r="152" spans="1:10" x14ac:dyDescent="0.25">
      <c r="A152">
        <v>84</v>
      </c>
      <c r="B152">
        <v>22840003</v>
      </c>
      <c r="C152" s="94">
        <v>44671</v>
      </c>
      <c r="D152">
        <v>-25.07</v>
      </c>
      <c r="E152">
        <v>-25.07</v>
      </c>
      <c r="F152" t="s">
        <v>421</v>
      </c>
      <c r="G152">
        <v>62311000</v>
      </c>
      <c r="H152" t="s">
        <v>376</v>
      </c>
      <c r="I152" t="str">
        <f t="shared" si="2"/>
        <v>62311000 Maaltijdcheques + eco cheques</v>
      </c>
      <c r="J152" t="s">
        <v>375</v>
      </c>
    </row>
    <row r="153" spans="1:10" x14ac:dyDescent="0.25">
      <c r="A153" t="s">
        <v>365</v>
      </c>
      <c r="B153">
        <v>20220089</v>
      </c>
      <c r="C153" s="94">
        <v>44679</v>
      </c>
      <c r="D153">
        <v>160</v>
      </c>
      <c r="E153">
        <v>160</v>
      </c>
      <c r="G153">
        <v>62311000</v>
      </c>
      <c r="H153" t="s">
        <v>376</v>
      </c>
      <c r="I153" t="str">
        <f t="shared" si="2"/>
        <v>62311000 Maaltijdcheques + eco cheques</v>
      </c>
      <c r="J153" t="s">
        <v>375</v>
      </c>
    </row>
    <row r="154" spans="1:10" x14ac:dyDescent="0.25">
      <c r="A154">
        <v>88</v>
      </c>
      <c r="B154">
        <v>22880002</v>
      </c>
      <c r="C154" s="94">
        <v>44592</v>
      </c>
      <c r="D154">
        <v>55.76</v>
      </c>
      <c r="E154">
        <v>55.76</v>
      </c>
      <c r="F154" t="s">
        <v>627</v>
      </c>
      <c r="G154">
        <v>63020000</v>
      </c>
      <c r="H154" t="s">
        <v>366</v>
      </c>
      <c r="I154" t="str">
        <f t="shared" si="2"/>
        <v>63020000 Afschrijvingen gebouwen</v>
      </c>
      <c r="J154" t="s">
        <v>364</v>
      </c>
    </row>
    <row r="155" spans="1:10" x14ac:dyDescent="0.25">
      <c r="A155">
        <v>88</v>
      </c>
      <c r="B155">
        <v>22880004</v>
      </c>
      <c r="C155" s="94">
        <v>44620</v>
      </c>
      <c r="D155">
        <v>55.76</v>
      </c>
      <c r="E155">
        <v>55.76</v>
      </c>
      <c r="F155" t="s">
        <v>595</v>
      </c>
      <c r="G155">
        <v>63020000</v>
      </c>
      <c r="H155" t="s">
        <v>366</v>
      </c>
      <c r="I155" t="str">
        <f t="shared" si="2"/>
        <v>63020000 Afschrijvingen gebouwen</v>
      </c>
      <c r="J155" t="s">
        <v>364</v>
      </c>
    </row>
    <row r="156" spans="1:10" x14ac:dyDescent="0.25">
      <c r="A156">
        <v>88</v>
      </c>
      <c r="B156">
        <v>22880006</v>
      </c>
      <c r="C156" s="94">
        <v>44651</v>
      </c>
      <c r="D156">
        <v>55.76</v>
      </c>
      <c r="E156">
        <v>55.76</v>
      </c>
      <c r="F156" t="s">
        <v>480</v>
      </c>
      <c r="G156">
        <v>63020000</v>
      </c>
      <c r="H156" t="s">
        <v>366</v>
      </c>
      <c r="I156" t="str">
        <f t="shared" si="2"/>
        <v>63020000 Afschrijvingen gebouwen</v>
      </c>
      <c r="J156" t="s">
        <v>364</v>
      </c>
    </row>
    <row r="157" spans="1:10" x14ac:dyDescent="0.25">
      <c r="A157">
        <v>88</v>
      </c>
      <c r="B157">
        <v>22880008</v>
      </c>
      <c r="C157" s="94">
        <v>44681</v>
      </c>
      <c r="D157">
        <v>55.76</v>
      </c>
      <c r="E157">
        <v>55.76</v>
      </c>
      <c r="F157" t="s">
        <v>367</v>
      </c>
      <c r="G157">
        <v>63020000</v>
      </c>
      <c r="H157" t="s">
        <v>366</v>
      </c>
      <c r="I157" t="str">
        <f t="shared" si="2"/>
        <v>63020000 Afschrijvingen gebouwen</v>
      </c>
      <c r="J157" t="s">
        <v>364</v>
      </c>
    </row>
    <row r="158" spans="1:10" x14ac:dyDescent="0.25">
      <c r="A158">
        <v>88</v>
      </c>
      <c r="B158">
        <v>22880001</v>
      </c>
      <c r="C158" s="94">
        <v>44592</v>
      </c>
      <c r="D158">
        <v>11.17</v>
      </c>
      <c r="E158">
        <v>11.17</v>
      </c>
      <c r="F158" t="s">
        <v>627</v>
      </c>
      <c r="G158">
        <v>63023000</v>
      </c>
      <c r="H158" t="s">
        <v>370</v>
      </c>
      <c r="I158" t="str">
        <f t="shared" si="2"/>
        <v>63023000 Afschrijvingen installaties, machines en uitrusting</v>
      </c>
      <c r="J158" t="s">
        <v>364</v>
      </c>
    </row>
    <row r="159" spans="1:10" x14ac:dyDescent="0.25">
      <c r="A159">
        <v>88</v>
      </c>
      <c r="B159">
        <v>22880003</v>
      </c>
      <c r="C159" s="94">
        <v>44620</v>
      </c>
      <c r="D159">
        <v>11.17</v>
      </c>
      <c r="E159">
        <v>11.17</v>
      </c>
      <c r="F159" t="s">
        <v>595</v>
      </c>
      <c r="G159">
        <v>63023000</v>
      </c>
      <c r="H159" t="s">
        <v>370</v>
      </c>
      <c r="I159" t="str">
        <f t="shared" si="2"/>
        <v>63023000 Afschrijvingen installaties, machines en uitrusting</v>
      </c>
      <c r="J159" t="s">
        <v>364</v>
      </c>
    </row>
    <row r="160" spans="1:10" x14ac:dyDescent="0.25">
      <c r="A160">
        <v>88</v>
      </c>
      <c r="B160">
        <v>22880005</v>
      </c>
      <c r="C160" s="94">
        <v>44651</v>
      </c>
      <c r="D160">
        <v>11.17</v>
      </c>
      <c r="E160">
        <v>11.17</v>
      </c>
      <c r="F160" t="s">
        <v>480</v>
      </c>
      <c r="G160">
        <v>63023000</v>
      </c>
      <c r="H160" t="s">
        <v>370</v>
      </c>
      <c r="I160" t="str">
        <f t="shared" si="2"/>
        <v>63023000 Afschrijvingen installaties, machines en uitrusting</v>
      </c>
      <c r="J160" t="s">
        <v>364</v>
      </c>
    </row>
    <row r="161" spans="1:10" x14ac:dyDescent="0.25">
      <c r="A161">
        <v>88</v>
      </c>
      <c r="B161">
        <v>22880007</v>
      </c>
      <c r="C161" s="94">
        <v>44681</v>
      </c>
      <c r="D161">
        <v>11.17</v>
      </c>
      <c r="E161">
        <v>11.17</v>
      </c>
      <c r="F161" t="s">
        <v>367</v>
      </c>
      <c r="G161">
        <v>63023000</v>
      </c>
      <c r="H161" t="s">
        <v>370</v>
      </c>
      <c r="I161" t="str">
        <f t="shared" si="2"/>
        <v>63023000 Afschrijvingen installaties, machines en uitrusting</v>
      </c>
      <c r="J161" t="s">
        <v>364</v>
      </c>
    </row>
    <row r="162" spans="1:10" x14ac:dyDescent="0.25">
      <c r="A162">
        <v>10</v>
      </c>
      <c r="B162">
        <v>22100005</v>
      </c>
      <c r="C162" s="94">
        <v>44562</v>
      </c>
      <c r="D162">
        <v>30</v>
      </c>
      <c r="E162">
        <v>30</v>
      </c>
      <c r="F162" t="s">
        <v>665</v>
      </c>
      <c r="G162">
        <v>65021000</v>
      </c>
      <c r="H162" t="s">
        <v>58</v>
      </c>
      <c r="I162" t="str">
        <f t="shared" si="2"/>
        <v>65021000 Bankkosten</v>
      </c>
      <c r="J162" t="s">
        <v>625</v>
      </c>
    </row>
    <row r="163" spans="1:10" x14ac:dyDescent="0.25">
      <c r="A163">
        <v>10</v>
      </c>
      <c r="B163">
        <v>22100005</v>
      </c>
      <c r="C163" s="94">
        <v>44562</v>
      </c>
      <c r="D163">
        <v>30.84</v>
      </c>
      <c r="E163">
        <v>30.84</v>
      </c>
      <c r="F163" t="s">
        <v>443</v>
      </c>
      <c r="G163">
        <v>65021000</v>
      </c>
      <c r="H163" t="s">
        <v>58</v>
      </c>
      <c r="I163" t="str">
        <f t="shared" si="2"/>
        <v>65021000 Bankkosten</v>
      </c>
      <c r="J163" t="s">
        <v>625</v>
      </c>
    </row>
    <row r="164" spans="1:10" x14ac:dyDescent="0.25">
      <c r="A164">
        <v>12</v>
      </c>
      <c r="B164">
        <v>22120001</v>
      </c>
      <c r="C164" s="94">
        <v>44582</v>
      </c>
      <c r="D164">
        <v>36.75</v>
      </c>
      <c r="E164">
        <v>36.75</v>
      </c>
      <c r="F164" t="s">
        <v>638</v>
      </c>
      <c r="G164">
        <v>65021000</v>
      </c>
      <c r="H164" t="s">
        <v>58</v>
      </c>
      <c r="I164" t="str">
        <f t="shared" si="2"/>
        <v>65021000 Bankkosten</v>
      </c>
      <c r="J164" t="s">
        <v>625</v>
      </c>
    </row>
    <row r="165" spans="1:10" x14ac:dyDescent="0.25">
      <c r="A165">
        <v>13</v>
      </c>
      <c r="B165">
        <v>22130001</v>
      </c>
      <c r="C165" s="94">
        <v>44593</v>
      </c>
      <c r="D165">
        <v>17.3</v>
      </c>
      <c r="E165">
        <v>17.3</v>
      </c>
      <c r="G165">
        <v>65021000</v>
      </c>
      <c r="H165" t="s">
        <v>58</v>
      </c>
      <c r="I165" t="str">
        <f t="shared" si="2"/>
        <v>65021000 Bankkosten</v>
      </c>
      <c r="J165" t="s">
        <v>625</v>
      </c>
    </row>
    <row r="166" spans="1:10" x14ac:dyDescent="0.25">
      <c r="A166">
        <v>10</v>
      </c>
      <c r="B166">
        <v>22100008</v>
      </c>
      <c r="C166" s="94">
        <v>44573</v>
      </c>
      <c r="D166">
        <v>-20</v>
      </c>
      <c r="E166">
        <v>-20</v>
      </c>
      <c r="F166" t="s">
        <v>660</v>
      </c>
      <c r="G166">
        <v>70307000</v>
      </c>
      <c r="H166" t="s">
        <v>385</v>
      </c>
      <c r="I166" t="str">
        <f t="shared" si="2"/>
        <v>70307000 Studiedag 1</v>
      </c>
      <c r="J166" t="s">
        <v>384</v>
      </c>
    </row>
    <row r="167" spans="1:10" x14ac:dyDescent="0.25">
      <c r="A167">
        <v>10</v>
      </c>
      <c r="B167">
        <v>22100009</v>
      </c>
      <c r="C167" s="94">
        <v>44574</v>
      </c>
      <c r="D167">
        <v>-20</v>
      </c>
      <c r="E167">
        <v>-20</v>
      </c>
      <c r="F167" t="s">
        <v>659</v>
      </c>
      <c r="G167">
        <v>70307000</v>
      </c>
      <c r="H167" t="s">
        <v>385</v>
      </c>
      <c r="I167" t="str">
        <f t="shared" si="2"/>
        <v>70307000 Studiedag 1</v>
      </c>
      <c r="J167" t="s">
        <v>384</v>
      </c>
    </row>
    <row r="168" spans="1:10" x14ac:dyDescent="0.25">
      <c r="A168">
        <v>10</v>
      </c>
      <c r="B168">
        <v>22100009</v>
      </c>
      <c r="C168" s="94">
        <v>44574</v>
      </c>
      <c r="D168">
        <v>-20</v>
      </c>
      <c r="E168">
        <v>-20</v>
      </c>
      <c r="F168" t="s">
        <v>658</v>
      </c>
      <c r="G168">
        <v>70307000</v>
      </c>
      <c r="H168" t="s">
        <v>385</v>
      </c>
      <c r="I168" t="str">
        <f t="shared" si="2"/>
        <v>70307000 Studiedag 1</v>
      </c>
      <c r="J168" t="s">
        <v>384</v>
      </c>
    </row>
    <row r="169" spans="1:10" x14ac:dyDescent="0.25">
      <c r="A169">
        <v>10</v>
      </c>
      <c r="B169">
        <v>22100009</v>
      </c>
      <c r="C169" s="94">
        <v>44574</v>
      </c>
      <c r="D169">
        <v>-5</v>
      </c>
      <c r="E169">
        <v>-5</v>
      </c>
      <c r="F169" t="s">
        <v>657</v>
      </c>
      <c r="G169">
        <v>70307000</v>
      </c>
      <c r="H169" t="s">
        <v>385</v>
      </c>
      <c r="I169" t="str">
        <f t="shared" si="2"/>
        <v>70307000 Studiedag 1</v>
      </c>
      <c r="J169" t="s">
        <v>384</v>
      </c>
    </row>
    <row r="170" spans="1:10" x14ac:dyDescent="0.25">
      <c r="A170">
        <v>10</v>
      </c>
      <c r="B170">
        <v>22100009</v>
      </c>
      <c r="C170" s="94">
        <v>44574</v>
      </c>
      <c r="D170">
        <v>-20</v>
      </c>
      <c r="E170">
        <v>-20</v>
      </c>
      <c r="F170" t="s">
        <v>655</v>
      </c>
      <c r="G170">
        <v>70307000</v>
      </c>
      <c r="H170" t="s">
        <v>385</v>
      </c>
      <c r="I170" t="str">
        <f t="shared" si="2"/>
        <v>70307000 Studiedag 1</v>
      </c>
      <c r="J170" t="s">
        <v>384</v>
      </c>
    </row>
    <row r="171" spans="1:10" x14ac:dyDescent="0.25">
      <c r="A171">
        <v>10</v>
      </c>
      <c r="B171">
        <v>22100010</v>
      </c>
      <c r="C171" s="94">
        <v>44575</v>
      </c>
      <c r="D171">
        <v>-30</v>
      </c>
      <c r="E171">
        <v>-30</v>
      </c>
      <c r="F171" t="s">
        <v>654</v>
      </c>
      <c r="G171">
        <v>70307000</v>
      </c>
      <c r="H171" t="s">
        <v>385</v>
      </c>
      <c r="I171" t="str">
        <f t="shared" si="2"/>
        <v>70307000 Studiedag 1</v>
      </c>
      <c r="J171" t="s">
        <v>384</v>
      </c>
    </row>
    <row r="172" spans="1:10" x14ac:dyDescent="0.25">
      <c r="A172">
        <v>10</v>
      </c>
      <c r="B172">
        <v>22100012</v>
      </c>
      <c r="C172" s="94">
        <v>44578</v>
      </c>
      <c r="D172">
        <v>-5</v>
      </c>
      <c r="E172">
        <v>-5</v>
      </c>
      <c r="F172" t="s">
        <v>652</v>
      </c>
      <c r="G172">
        <v>70307000</v>
      </c>
      <c r="H172" t="s">
        <v>385</v>
      </c>
      <c r="I172" t="str">
        <f t="shared" si="2"/>
        <v>70307000 Studiedag 1</v>
      </c>
      <c r="J172" t="s">
        <v>384</v>
      </c>
    </row>
    <row r="173" spans="1:10" x14ac:dyDescent="0.25">
      <c r="A173">
        <v>10</v>
      </c>
      <c r="B173">
        <v>22100013</v>
      </c>
      <c r="C173" s="94">
        <v>44579</v>
      </c>
      <c r="D173">
        <v>-50</v>
      </c>
      <c r="E173">
        <v>-50</v>
      </c>
      <c r="F173" t="s">
        <v>650</v>
      </c>
      <c r="G173">
        <v>70307000</v>
      </c>
      <c r="H173" t="s">
        <v>385</v>
      </c>
      <c r="I173" t="str">
        <f t="shared" si="2"/>
        <v>70307000 Studiedag 1</v>
      </c>
      <c r="J173" t="s">
        <v>384</v>
      </c>
    </row>
    <row r="174" spans="1:10" x14ac:dyDescent="0.25">
      <c r="A174">
        <v>10</v>
      </c>
      <c r="B174">
        <v>22100013</v>
      </c>
      <c r="C174" s="94">
        <v>44579</v>
      </c>
      <c r="D174">
        <v>-30</v>
      </c>
      <c r="E174">
        <v>-30</v>
      </c>
      <c r="F174" t="s">
        <v>651</v>
      </c>
      <c r="G174">
        <v>70307000</v>
      </c>
      <c r="H174" t="s">
        <v>385</v>
      </c>
      <c r="I174" t="str">
        <f t="shared" si="2"/>
        <v>70307000 Studiedag 1</v>
      </c>
      <c r="J174" t="s">
        <v>384</v>
      </c>
    </row>
    <row r="175" spans="1:10" x14ac:dyDescent="0.25">
      <c r="A175">
        <v>10</v>
      </c>
      <c r="B175">
        <v>22100013</v>
      </c>
      <c r="C175" s="94">
        <v>44579</v>
      </c>
      <c r="D175">
        <v>-50</v>
      </c>
      <c r="E175">
        <v>-50</v>
      </c>
      <c r="F175" t="s">
        <v>649</v>
      </c>
      <c r="G175">
        <v>70307000</v>
      </c>
      <c r="H175" t="s">
        <v>385</v>
      </c>
      <c r="I175" t="str">
        <f t="shared" si="2"/>
        <v>70307000 Studiedag 1</v>
      </c>
      <c r="J175" t="s">
        <v>384</v>
      </c>
    </row>
    <row r="176" spans="1:10" x14ac:dyDescent="0.25">
      <c r="A176">
        <v>10</v>
      </c>
      <c r="B176">
        <v>22100013</v>
      </c>
      <c r="C176" s="94">
        <v>44579</v>
      </c>
      <c r="D176">
        <v>-20</v>
      </c>
      <c r="E176">
        <v>-20</v>
      </c>
      <c r="F176" t="s">
        <v>648</v>
      </c>
      <c r="G176">
        <v>70307000</v>
      </c>
      <c r="H176" t="s">
        <v>385</v>
      </c>
      <c r="I176" t="str">
        <f t="shared" si="2"/>
        <v>70307000 Studiedag 1</v>
      </c>
      <c r="J176" t="s">
        <v>384</v>
      </c>
    </row>
    <row r="177" spans="1:10" x14ac:dyDescent="0.25">
      <c r="A177">
        <v>10</v>
      </c>
      <c r="B177">
        <v>22100013</v>
      </c>
      <c r="C177" s="94">
        <v>44579</v>
      </c>
      <c r="D177">
        <v>-50</v>
      </c>
      <c r="E177">
        <v>-50</v>
      </c>
      <c r="F177" t="s">
        <v>647</v>
      </c>
      <c r="G177">
        <v>70307000</v>
      </c>
      <c r="H177" t="s">
        <v>385</v>
      </c>
      <c r="I177" t="str">
        <f t="shared" si="2"/>
        <v>70307000 Studiedag 1</v>
      </c>
      <c r="J177" t="s">
        <v>384</v>
      </c>
    </row>
    <row r="178" spans="1:10" x14ac:dyDescent="0.25">
      <c r="A178">
        <v>10</v>
      </c>
      <c r="B178">
        <v>22100014</v>
      </c>
      <c r="C178" s="94">
        <v>44580</v>
      </c>
      <c r="D178">
        <v>-20</v>
      </c>
      <c r="E178">
        <v>-20</v>
      </c>
      <c r="F178" t="s">
        <v>644</v>
      </c>
      <c r="G178">
        <v>70307000</v>
      </c>
      <c r="H178" t="s">
        <v>385</v>
      </c>
      <c r="I178" t="str">
        <f t="shared" si="2"/>
        <v>70307000 Studiedag 1</v>
      </c>
      <c r="J178" t="s">
        <v>384</v>
      </c>
    </row>
    <row r="179" spans="1:10" x14ac:dyDescent="0.25">
      <c r="A179">
        <v>10</v>
      </c>
      <c r="B179">
        <v>22100014</v>
      </c>
      <c r="C179" s="94">
        <v>44580</v>
      </c>
      <c r="D179">
        <v>-50</v>
      </c>
      <c r="E179">
        <v>-50</v>
      </c>
      <c r="F179" t="s">
        <v>645</v>
      </c>
      <c r="G179">
        <v>70307000</v>
      </c>
      <c r="H179" t="s">
        <v>385</v>
      </c>
      <c r="I179" t="str">
        <f t="shared" si="2"/>
        <v>70307000 Studiedag 1</v>
      </c>
      <c r="J179" t="s">
        <v>384</v>
      </c>
    </row>
    <row r="180" spans="1:10" x14ac:dyDescent="0.25">
      <c r="A180">
        <v>10</v>
      </c>
      <c r="B180">
        <v>22100014</v>
      </c>
      <c r="C180" s="94">
        <v>44580</v>
      </c>
      <c r="D180">
        <v>-20</v>
      </c>
      <c r="E180">
        <v>-20</v>
      </c>
      <c r="F180" t="s">
        <v>646</v>
      </c>
      <c r="G180">
        <v>70307000</v>
      </c>
      <c r="H180" t="s">
        <v>385</v>
      </c>
      <c r="I180" t="str">
        <f t="shared" si="2"/>
        <v>70307000 Studiedag 1</v>
      </c>
      <c r="J180" t="s">
        <v>384</v>
      </c>
    </row>
    <row r="181" spans="1:10" x14ac:dyDescent="0.25">
      <c r="A181">
        <v>10</v>
      </c>
      <c r="B181">
        <v>22100014</v>
      </c>
      <c r="C181" s="94">
        <v>44580</v>
      </c>
      <c r="D181">
        <v>-20</v>
      </c>
      <c r="E181">
        <v>-20</v>
      </c>
      <c r="F181" t="s">
        <v>642</v>
      </c>
      <c r="G181">
        <v>70307000</v>
      </c>
      <c r="H181" t="s">
        <v>385</v>
      </c>
      <c r="I181" t="str">
        <f t="shared" si="2"/>
        <v>70307000 Studiedag 1</v>
      </c>
      <c r="J181" t="s">
        <v>384</v>
      </c>
    </row>
    <row r="182" spans="1:10" x14ac:dyDescent="0.25">
      <c r="A182">
        <v>10</v>
      </c>
      <c r="B182">
        <v>22100014</v>
      </c>
      <c r="C182" s="94">
        <v>44580</v>
      </c>
      <c r="D182">
        <v>-20</v>
      </c>
      <c r="E182">
        <v>-20</v>
      </c>
      <c r="F182" t="s">
        <v>643</v>
      </c>
      <c r="G182">
        <v>70307000</v>
      </c>
      <c r="H182" t="s">
        <v>385</v>
      </c>
      <c r="I182" t="str">
        <f t="shared" si="2"/>
        <v>70307000 Studiedag 1</v>
      </c>
      <c r="J182" t="s">
        <v>384</v>
      </c>
    </row>
    <row r="183" spans="1:10" x14ac:dyDescent="0.25">
      <c r="A183">
        <v>10</v>
      </c>
      <c r="B183">
        <v>22100015</v>
      </c>
      <c r="C183" s="94">
        <v>44581</v>
      </c>
      <c r="D183">
        <v>-20</v>
      </c>
      <c r="E183">
        <v>-20</v>
      </c>
      <c r="F183" t="s">
        <v>640</v>
      </c>
      <c r="G183">
        <v>70307000</v>
      </c>
      <c r="H183" t="s">
        <v>385</v>
      </c>
      <c r="I183" t="str">
        <f t="shared" si="2"/>
        <v>70307000 Studiedag 1</v>
      </c>
      <c r="J183" t="s">
        <v>384</v>
      </c>
    </row>
    <row r="184" spans="1:10" x14ac:dyDescent="0.25">
      <c r="A184">
        <v>10</v>
      </c>
      <c r="B184">
        <v>22100015</v>
      </c>
      <c r="C184" s="94">
        <v>44581</v>
      </c>
      <c r="D184">
        <v>-50</v>
      </c>
      <c r="E184">
        <v>-50</v>
      </c>
      <c r="F184" t="s">
        <v>641</v>
      </c>
      <c r="G184">
        <v>70307000</v>
      </c>
      <c r="H184" t="s">
        <v>385</v>
      </c>
      <c r="I184" t="str">
        <f t="shared" si="2"/>
        <v>70307000 Studiedag 1</v>
      </c>
      <c r="J184" t="s">
        <v>384</v>
      </c>
    </row>
    <row r="185" spans="1:10" x14ac:dyDescent="0.25">
      <c r="A185">
        <v>10</v>
      </c>
      <c r="B185">
        <v>22100015</v>
      </c>
      <c r="C185" s="94">
        <v>44581</v>
      </c>
      <c r="D185">
        <v>-50</v>
      </c>
      <c r="E185">
        <v>-50</v>
      </c>
      <c r="F185" t="s">
        <v>639</v>
      </c>
      <c r="G185">
        <v>70307000</v>
      </c>
      <c r="H185" t="s">
        <v>385</v>
      </c>
      <c r="I185" t="str">
        <f t="shared" si="2"/>
        <v>70307000 Studiedag 1</v>
      </c>
      <c r="J185" t="s">
        <v>384</v>
      </c>
    </row>
    <row r="186" spans="1:10" x14ac:dyDescent="0.25">
      <c r="A186">
        <v>10</v>
      </c>
      <c r="B186">
        <v>22100016</v>
      </c>
      <c r="C186" s="94">
        <v>44582</v>
      </c>
      <c r="D186">
        <v>-50</v>
      </c>
      <c r="E186">
        <v>-50</v>
      </c>
      <c r="F186" t="s">
        <v>636</v>
      </c>
      <c r="G186">
        <v>70307000</v>
      </c>
      <c r="H186" t="s">
        <v>385</v>
      </c>
      <c r="I186" t="str">
        <f t="shared" si="2"/>
        <v>70307000 Studiedag 1</v>
      </c>
      <c r="J186" t="s">
        <v>384</v>
      </c>
    </row>
    <row r="187" spans="1:10" x14ac:dyDescent="0.25">
      <c r="A187">
        <v>10</v>
      </c>
      <c r="B187">
        <v>22100016</v>
      </c>
      <c r="C187" s="94">
        <v>44582</v>
      </c>
      <c r="D187">
        <v>-30</v>
      </c>
      <c r="E187">
        <v>-30</v>
      </c>
      <c r="F187" t="s">
        <v>637</v>
      </c>
      <c r="G187">
        <v>70307000</v>
      </c>
      <c r="H187" t="s">
        <v>385</v>
      </c>
      <c r="I187" t="str">
        <f t="shared" si="2"/>
        <v>70307000 Studiedag 1</v>
      </c>
      <c r="J187" t="s">
        <v>384</v>
      </c>
    </row>
    <row r="188" spans="1:10" x14ac:dyDescent="0.25">
      <c r="A188">
        <v>10</v>
      </c>
      <c r="B188">
        <v>22100018</v>
      </c>
      <c r="C188" s="94">
        <v>44585</v>
      </c>
      <c r="D188">
        <v>-50</v>
      </c>
      <c r="E188">
        <v>-50</v>
      </c>
      <c r="F188" t="s">
        <v>635</v>
      </c>
      <c r="G188">
        <v>70307000</v>
      </c>
      <c r="H188" t="s">
        <v>385</v>
      </c>
      <c r="I188" t="str">
        <f t="shared" si="2"/>
        <v>70307000 Studiedag 1</v>
      </c>
      <c r="J188" t="s">
        <v>384</v>
      </c>
    </row>
    <row r="189" spans="1:10" x14ac:dyDescent="0.25">
      <c r="A189">
        <v>10</v>
      </c>
      <c r="B189">
        <v>22100019</v>
      </c>
      <c r="C189" s="94">
        <v>44586</v>
      </c>
      <c r="D189">
        <v>-50</v>
      </c>
      <c r="E189">
        <v>-50</v>
      </c>
      <c r="F189" t="s">
        <v>634</v>
      </c>
      <c r="G189">
        <v>70307000</v>
      </c>
      <c r="H189" t="s">
        <v>385</v>
      </c>
      <c r="I189" t="str">
        <f t="shared" si="2"/>
        <v>70307000 Studiedag 1</v>
      </c>
      <c r="J189" t="s">
        <v>384</v>
      </c>
    </row>
    <row r="190" spans="1:10" x14ac:dyDescent="0.25">
      <c r="A190">
        <v>10</v>
      </c>
      <c r="B190">
        <v>22100019</v>
      </c>
      <c r="C190" s="94">
        <v>44586</v>
      </c>
      <c r="D190">
        <v>-50</v>
      </c>
      <c r="E190">
        <v>-50</v>
      </c>
      <c r="F190" t="s">
        <v>633</v>
      </c>
      <c r="G190">
        <v>70307000</v>
      </c>
      <c r="H190" t="s">
        <v>385</v>
      </c>
      <c r="I190" t="str">
        <f t="shared" si="2"/>
        <v>70307000 Studiedag 1</v>
      </c>
      <c r="J190" t="s">
        <v>384</v>
      </c>
    </row>
    <row r="191" spans="1:10" x14ac:dyDescent="0.25">
      <c r="A191">
        <v>10</v>
      </c>
      <c r="B191">
        <v>22100019</v>
      </c>
      <c r="C191" s="94">
        <v>44586</v>
      </c>
      <c r="D191">
        <v>-50</v>
      </c>
      <c r="E191">
        <v>-50</v>
      </c>
      <c r="F191" t="s">
        <v>631</v>
      </c>
      <c r="G191">
        <v>70307000</v>
      </c>
      <c r="H191" t="s">
        <v>385</v>
      </c>
      <c r="I191" t="str">
        <f t="shared" si="2"/>
        <v>70307000 Studiedag 1</v>
      </c>
      <c r="J191" t="s">
        <v>384</v>
      </c>
    </row>
    <row r="192" spans="1:10" x14ac:dyDescent="0.25">
      <c r="A192">
        <v>10</v>
      </c>
      <c r="B192">
        <v>22100020</v>
      </c>
      <c r="C192" s="94">
        <v>44587</v>
      </c>
      <c r="D192">
        <v>-50</v>
      </c>
      <c r="E192">
        <v>-50</v>
      </c>
      <c r="F192" t="s">
        <v>630</v>
      </c>
      <c r="G192">
        <v>70307000</v>
      </c>
      <c r="H192" t="s">
        <v>385</v>
      </c>
      <c r="I192" t="str">
        <f t="shared" si="2"/>
        <v>70307000 Studiedag 1</v>
      </c>
      <c r="J192" t="s">
        <v>384</v>
      </c>
    </row>
    <row r="193" spans="1:10" x14ac:dyDescent="0.25">
      <c r="A193">
        <v>10</v>
      </c>
      <c r="B193">
        <v>22100020</v>
      </c>
      <c r="C193" s="94">
        <v>44587</v>
      </c>
      <c r="D193">
        <v>-100</v>
      </c>
      <c r="E193">
        <v>-100</v>
      </c>
      <c r="F193" t="s">
        <v>629</v>
      </c>
      <c r="G193">
        <v>70307000</v>
      </c>
      <c r="H193" t="s">
        <v>385</v>
      </c>
      <c r="I193" t="str">
        <f t="shared" si="2"/>
        <v>70307000 Studiedag 1</v>
      </c>
      <c r="J193" t="s">
        <v>384</v>
      </c>
    </row>
    <row r="194" spans="1:10" x14ac:dyDescent="0.25">
      <c r="A194">
        <v>10</v>
      </c>
      <c r="B194">
        <v>22100021</v>
      </c>
      <c r="C194" s="94">
        <v>44588</v>
      </c>
      <c r="D194">
        <v>-50</v>
      </c>
      <c r="E194">
        <v>-50</v>
      </c>
      <c r="F194" t="s">
        <v>628</v>
      </c>
      <c r="G194">
        <v>70307000</v>
      </c>
      <c r="H194" t="s">
        <v>385</v>
      </c>
      <c r="I194" t="str">
        <f t="shared" ref="I194:I257" si="3">CONCATENATE(G194," ",H194)</f>
        <v>70307000 Studiedag 1</v>
      </c>
      <c r="J194" t="s">
        <v>384</v>
      </c>
    </row>
    <row r="195" spans="1:10" x14ac:dyDescent="0.25">
      <c r="A195">
        <v>10</v>
      </c>
      <c r="B195">
        <v>22100022</v>
      </c>
      <c r="C195" s="94">
        <v>44593</v>
      </c>
      <c r="D195" s="61">
        <v>-1260</v>
      </c>
      <c r="E195" s="61">
        <v>-1260</v>
      </c>
      <c r="F195" t="s">
        <v>624</v>
      </c>
      <c r="G195">
        <v>70307000</v>
      </c>
      <c r="H195" t="s">
        <v>385</v>
      </c>
      <c r="I195" t="str">
        <f t="shared" si="3"/>
        <v>70307000 Studiedag 1</v>
      </c>
      <c r="J195" t="s">
        <v>384</v>
      </c>
    </row>
    <row r="196" spans="1:10" x14ac:dyDescent="0.25">
      <c r="A196">
        <v>10</v>
      </c>
      <c r="B196">
        <v>22100030</v>
      </c>
      <c r="C196" s="94">
        <v>44603</v>
      </c>
      <c r="D196">
        <v>-50</v>
      </c>
      <c r="E196">
        <v>-50</v>
      </c>
      <c r="F196" t="s">
        <v>615</v>
      </c>
      <c r="G196">
        <v>70307000</v>
      </c>
      <c r="H196" t="s">
        <v>385</v>
      </c>
      <c r="I196" t="str">
        <f t="shared" si="3"/>
        <v>70307000 Studiedag 1</v>
      </c>
      <c r="J196" t="s">
        <v>384</v>
      </c>
    </row>
    <row r="197" spans="1:10" x14ac:dyDescent="0.25">
      <c r="A197">
        <v>10</v>
      </c>
      <c r="B197">
        <v>22100030</v>
      </c>
      <c r="C197" s="94">
        <v>44603</v>
      </c>
      <c r="D197">
        <v>-5</v>
      </c>
      <c r="E197">
        <v>-5</v>
      </c>
      <c r="F197" t="s">
        <v>614</v>
      </c>
      <c r="G197">
        <v>70307000</v>
      </c>
      <c r="H197" t="s">
        <v>385</v>
      </c>
      <c r="I197" t="str">
        <f t="shared" si="3"/>
        <v>70307000 Studiedag 1</v>
      </c>
      <c r="J197" t="s">
        <v>384</v>
      </c>
    </row>
    <row r="198" spans="1:10" x14ac:dyDescent="0.25">
      <c r="A198">
        <v>10</v>
      </c>
      <c r="B198">
        <v>22100030</v>
      </c>
      <c r="C198" s="94">
        <v>44603</v>
      </c>
      <c r="D198">
        <v>-50</v>
      </c>
      <c r="E198">
        <v>-50</v>
      </c>
      <c r="F198" t="s">
        <v>613</v>
      </c>
      <c r="G198">
        <v>70307000</v>
      </c>
      <c r="H198" t="s">
        <v>385</v>
      </c>
      <c r="I198" t="str">
        <f t="shared" si="3"/>
        <v>70307000 Studiedag 1</v>
      </c>
      <c r="J198" t="s">
        <v>384</v>
      </c>
    </row>
    <row r="199" spans="1:10" x14ac:dyDescent="0.25">
      <c r="A199">
        <v>10</v>
      </c>
      <c r="B199">
        <v>22100032</v>
      </c>
      <c r="C199" s="94">
        <v>44606</v>
      </c>
      <c r="D199">
        <v>-5</v>
      </c>
      <c r="E199">
        <v>-5</v>
      </c>
      <c r="F199" t="s">
        <v>612</v>
      </c>
      <c r="G199">
        <v>70307000</v>
      </c>
      <c r="H199" t="s">
        <v>385</v>
      </c>
      <c r="I199" t="str">
        <f t="shared" si="3"/>
        <v>70307000 Studiedag 1</v>
      </c>
      <c r="J199" t="s">
        <v>384</v>
      </c>
    </row>
    <row r="200" spans="1:10" x14ac:dyDescent="0.25">
      <c r="A200">
        <v>10</v>
      </c>
      <c r="B200">
        <v>22100032</v>
      </c>
      <c r="C200" s="94">
        <v>44606</v>
      </c>
      <c r="D200">
        <v>-5</v>
      </c>
      <c r="E200">
        <v>-5</v>
      </c>
      <c r="F200" t="s">
        <v>611</v>
      </c>
      <c r="G200">
        <v>70307000</v>
      </c>
      <c r="H200" t="s">
        <v>385</v>
      </c>
      <c r="I200" t="str">
        <f t="shared" si="3"/>
        <v>70307000 Studiedag 1</v>
      </c>
      <c r="J200" t="s">
        <v>384</v>
      </c>
    </row>
    <row r="201" spans="1:10" x14ac:dyDescent="0.25">
      <c r="A201">
        <v>10</v>
      </c>
      <c r="B201">
        <v>22100033</v>
      </c>
      <c r="C201" s="94">
        <v>44607</v>
      </c>
      <c r="D201">
        <v>-30</v>
      </c>
      <c r="E201">
        <v>-30</v>
      </c>
      <c r="F201" t="s">
        <v>609</v>
      </c>
      <c r="G201">
        <v>70307000</v>
      </c>
      <c r="H201" t="s">
        <v>385</v>
      </c>
      <c r="I201" t="str">
        <f t="shared" si="3"/>
        <v>70307000 Studiedag 1</v>
      </c>
      <c r="J201" t="s">
        <v>384</v>
      </c>
    </row>
    <row r="202" spans="1:10" x14ac:dyDescent="0.25">
      <c r="A202">
        <v>10</v>
      </c>
      <c r="B202">
        <v>22100036</v>
      </c>
      <c r="C202" s="94">
        <v>44610</v>
      </c>
      <c r="D202">
        <v>-30</v>
      </c>
      <c r="E202">
        <v>-30</v>
      </c>
      <c r="F202" t="s">
        <v>606</v>
      </c>
      <c r="G202">
        <v>70307000</v>
      </c>
      <c r="H202" t="s">
        <v>385</v>
      </c>
      <c r="I202" t="str">
        <f t="shared" si="3"/>
        <v>70307000 Studiedag 1</v>
      </c>
      <c r="J202" t="s">
        <v>384</v>
      </c>
    </row>
    <row r="203" spans="1:10" x14ac:dyDescent="0.25">
      <c r="A203">
        <v>10</v>
      </c>
      <c r="B203">
        <v>22100038</v>
      </c>
      <c r="C203" s="94">
        <v>44614</v>
      </c>
      <c r="D203">
        <v>-5</v>
      </c>
      <c r="E203">
        <v>-5</v>
      </c>
      <c r="F203" t="s">
        <v>604</v>
      </c>
      <c r="G203">
        <v>70307000</v>
      </c>
      <c r="H203" t="s">
        <v>385</v>
      </c>
      <c r="I203" t="str">
        <f t="shared" si="3"/>
        <v>70307000 Studiedag 1</v>
      </c>
      <c r="J203" t="s">
        <v>384</v>
      </c>
    </row>
    <row r="204" spans="1:10" x14ac:dyDescent="0.25">
      <c r="A204">
        <v>10</v>
      </c>
      <c r="B204">
        <v>22100039</v>
      </c>
      <c r="C204" s="94">
        <v>44615</v>
      </c>
      <c r="D204">
        <v>-30</v>
      </c>
      <c r="E204">
        <v>-30</v>
      </c>
      <c r="F204" t="s">
        <v>603</v>
      </c>
      <c r="G204">
        <v>70307000</v>
      </c>
      <c r="H204" t="s">
        <v>385</v>
      </c>
      <c r="I204" t="str">
        <f t="shared" si="3"/>
        <v>70307000 Studiedag 1</v>
      </c>
      <c r="J204" t="s">
        <v>384</v>
      </c>
    </row>
    <row r="205" spans="1:10" x14ac:dyDescent="0.25">
      <c r="A205">
        <v>10</v>
      </c>
      <c r="B205">
        <v>22100039</v>
      </c>
      <c r="C205" s="94">
        <v>44615</v>
      </c>
      <c r="D205">
        <v>-5</v>
      </c>
      <c r="E205">
        <v>-5</v>
      </c>
      <c r="F205" t="s">
        <v>602</v>
      </c>
      <c r="G205">
        <v>70307000</v>
      </c>
      <c r="H205" t="s">
        <v>385</v>
      </c>
      <c r="I205" t="str">
        <f t="shared" si="3"/>
        <v>70307000 Studiedag 1</v>
      </c>
      <c r="J205" t="s">
        <v>384</v>
      </c>
    </row>
    <row r="206" spans="1:10" x14ac:dyDescent="0.25">
      <c r="A206">
        <v>10</v>
      </c>
      <c r="B206">
        <v>22100040</v>
      </c>
      <c r="C206" s="94">
        <v>44616</v>
      </c>
      <c r="D206">
        <v>-5</v>
      </c>
      <c r="E206">
        <v>-5</v>
      </c>
      <c r="F206" t="s">
        <v>598</v>
      </c>
      <c r="G206">
        <v>70307000</v>
      </c>
      <c r="H206" t="s">
        <v>385</v>
      </c>
      <c r="I206" t="str">
        <f t="shared" si="3"/>
        <v>70307000 Studiedag 1</v>
      </c>
      <c r="J206" t="s">
        <v>384</v>
      </c>
    </row>
    <row r="207" spans="1:10" x14ac:dyDescent="0.25">
      <c r="A207">
        <v>10</v>
      </c>
      <c r="B207">
        <v>22100042</v>
      </c>
      <c r="C207" s="94">
        <v>44621</v>
      </c>
      <c r="D207">
        <v>-260</v>
      </c>
      <c r="E207">
        <v>-260</v>
      </c>
      <c r="F207" t="s">
        <v>590</v>
      </c>
      <c r="G207">
        <v>70307000</v>
      </c>
      <c r="H207" t="s">
        <v>385</v>
      </c>
      <c r="I207" t="str">
        <f t="shared" si="3"/>
        <v>70307000 Studiedag 1</v>
      </c>
      <c r="J207" t="s">
        <v>384</v>
      </c>
    </row>
    <row r="208" spans="1:10" x14ac:dyDescent="0.25">
      <c r="A208">
        <v>10</v>
      </c>
      <c r="B208">
        <v>22100042</v>
      </c>
      <c r="C208" s="94">
        <v>44621</v>
      </c>
      <c r="D208">
        <v>-50</v>
      </c>
      <c r="E208">
        <v>-50</v>
      </c>
      <c r="F208" t="s">
        <v>591</v>
      </c>
      <c r="G208">
        <v>70307000</v>
      </c>
      <c r="H208" t="s">
        <v>385</v>
      </c>
      <c r="I208" t="str">
        <f t="shared" si="3"/>
        <v>70307000 Studiedag 1</v>
      </c>
      <c r="J208" t="s">
        <v>384</v>
      </c>
    </row>
    <row r="209" spans="1:10" x14ac:dyDescent="0.25">
      <c r="A209">
        <v>10</v>
      </c>
      <c r="B209">
        <v>22100048</v>
      </c>
      <c r="C209" s="94">
        <v>44628</v>
      </c>
      <c r="D209">
        <v>-25</v>
      </c>
      <c r="E209">
        <v>-25</v>
      </c>
      <c r="F209" t="s">
        <v>573</v>
      </c>
      <c r="G209">
        <v>70307000</v>
      </c>
      <c r="H209" t="s">
        <v>385</v>
      </c>
      <c r="I209" t="str">
        <f t="shared" si="3"/>
        <v>70307000 Studiedag 1</v>
      </c>
      <c r="J209" t="s">
        <v>384</v>
      </c>
    </row>
    <row r="210" spans="1:10" x14ac:dyDescent="0.25">
      <c r="A210">
        <v>10</v>
      </c>
      <c r="B210">
        <v>22100061</v>
      </c>
      <c r="C210" s="94">
        <v>44643</v>
      </c>
      <c r="D210">
        <v>-5</v>
      </c>
      <c r="E210">
        <v>-5</v>
      </c>
      <c r="F210" t="s">
        <v>511</v>
      </c>
      <c r="G210">
        <v>70307000</v>
      </c>
      <c r="H210" t="s">
        <v>385</v>
      </c>
      <c r="I210" t="str">
        <f t="shared" si="3"/>
        <v>70307000 Studiedag 1</v>
      </c>
      <c r="J210" t="s">
        <v>384</v>
      </c>
    </row>
    <row r="211" spans="1:10" x14ac:dyDescent="0.25">
      <c r="A211">
        <v>10</v>
      </c>
      <c r="B211">
        <v>22100061</v>
      </c>
      <c r="C211" s="94">
        <v>44643</v>
      </c>
      <c r="D211">
        <v>-25</v>
      </c>
      <c r="E211">
        <v>-25</v>
      </c>
      <c r="F211" t="s">
        <v>513</v>
      </c>
      <c r="G211">
        <v>70307000</v>
      </c>
      <c r="H211" t="s">
        <v>385</v>
      </c>
      <c r="I211" t="str">
        <f t="shared" si="3"/>
        <v>70307000 Studiedag 1</v>
      </c>
      <c r="J211" t="s">
        <v>384</v>
      </c>
    </row>
    <row r="212" spans="1:10" x14ac:dyDescent="0.25">
      <c r="A212">
        <v>10</v>
      </c>
      <c r="B212">
        <v>22100062</v>
      </c>
      <c r="C212" s="94">
        <v>44644</v>
      </c>
      <c r="D212">
        <v>-25</v>
      </c>
      <c r="E212">
        <v>-25</v>
      </c>
      <c r="F212" t="s">
        <v>508</v>
      </c>
      <c r="G212">
        <v>70307000</v>
      </c>
      <c r="H212" t="s">
        <v>385</v>
      </c>
      <c r="I212" t="str">
        <f t="shared" si="3"/>
        <v>70307000 Studiedag 1</v>
      </c>
      <c r="J212" t="s">
        <v>384</v>
      </c>
    </row>
    <row r="213" spans="1:10" x14ac:dyDescent="0.25">
      <c r="A213">
        <v>10</v>
      </c>
      <c r="B213">
        <v>22100062</v>
      </c>
      <c r="C213" s="94">
        <v>44644</v>
      </c>
      <c r="D213">
        <v>-5</v>
      </c>
      <c r="E213">
        <v>-5</v>
      </c>
      <c r="F213" t="s">
        <v>506</v>
      </c>
      <c r="G213">
        <v>70307000</v>
      </c>
      <c r="H213" t="s">
        <v>385</v>
      </c>
      <c r="I213" t="str">
        <f t="shared" si="3"/>
        <v>70307000 Studiedag 1</v>
      </c>
      <c r="J213" t="s">
        <v>384</v>
      </c>
    </row>
    <row r="214" spans="1:10" x14ac:dyDescent="0.25">
      <c r="A214">
        <v>10</v>
      </c>
      <c r="B214">
        <v>22100063</v>
      </c>
      <c r="C214" s="94">
        <v>44645</v>
      </c>
      <c r="D214">
        <v>-5</v>
      </c>
      <c r="E214">
        <v>-5</v>
      </c>
      <c r="F214" t="s">
        <v>500</v>
      </c>
      <c r="G214">
        <v>70307000</v>
      </c>
      <c r="H214" t="s">
        <v>385</v>
      </c>
      <c r="I214" t="str">
        <f t="shared" si="3"/>
        <v>70307000 Studiedag 1</v>
      </c>
      <c r="J214" t="s">
        <v>384</v>
      </c>
    </row>
    <row r="215" spans="1:10" x14ac:dyDescent="0.25">
      <c r="A215">
        <v>10</v>
      </c>
      <c r="B215">
        <v>22100065</v>
      </c>
      <c r="C215" s="94">
        <v>44649</v>
      </c>
      <c r="D215">
        <v>-25</v>
      </c>
      <c r="E215">
        <v>-25</v>
      </c>
      <c r="F215" t="s">
        <v>423</v>
      </c>
      <c r="G215">
        <v>70307000</v>
      </c>
      <c r="H215" t="s">
        <v>385</v>
      </c>
      <c r="I215" t="str">
        <f t="shared" si="3"/>
        <v>70307000 Studiedag 1</v>
      </c>
      <c r="J215" t="s">
        <v>384</v>
      </c>
    </row>
    <row r="216" spans="1:10" x14ac:dyDescent="0.25">
      <c r="A216">
        <v>10</v>
      </c>
      <c r="B216">
        <v>22100066</v>
      </c>
      <c r="C216" s="94">
        <v>44650</v>
      </c>
      <c r="D216">
        <v>-25</v>
      </c>
      <c r="E216">
        <v>-25</v>
      </c>
      <c r="F216" t="s">
        <v>489</v>
      </c>
      <c r="G216">
        <v>70307000</v>
      </c>
      <c r="H216" t="s">
        <v>385</v>
      </c>
      <c r="I216" t="str">
        <f t="shared" si="3"/>
        <v>70307000 Studiedag 1</v>
      </c>
      <c r="J216" t="s">
        <v>384</v>
      </c>
    </row>
    <row r="217" spans="1:10" x14ac:dyDescent="0.25">
      <c r="A217">
        <v>10</v>
      </c>
      <c r="B217">
        <v>22100066</v>
      </c>
      <c r="C217" s="94">
        <v>44650</v>
      </c>
      <c r="D217">
        <v>-25</v>
      </c>
      <c r="E217">
        <v>-25</v>
      </c>
      <c r="F217" t="s">
        <v>487</v>
      </c>
      <c r="G217">
        <v>70307000</v>
      </c>
      <c r="H217" t="s">
        <v>385</v>
      </c>
      <c r="I217" t="str">
        <f t="shared" si="3"/>
        <v>70307000 Studiedag 1</v>
      </c>
      <c r="J217" t="s">
        <v>384</v>
      </c>
    </row>
    <row r="218" spans="1:10" x14ac:dyDescent="0.25">
      <c r="A218">
        <v>10</v>
      </c>
      <c r="B218">
        <v>22100066</v>
      </c>
      <c r="C218" s="94">
        <v>44650</v>
      </c>
      <c r="D218">
        <v>-25</v>
      </c>
      <c r="E218">
        <v>-25</v>
      </c>
      <c r="F218" t="s">
        <v>485</v>
      </c>
      <c r="G218">
        <v>70307000</v>
      </c>
      <c r="H218" t="s">
        <v>385</v>
      </c>
      <c r="I218" t="str">
        <f t="shared" si="3"/>
        <v>70307000 Studiedag 1</v>
      </c>
      <c r="J218" t="s">
        <v>384</v>
      </c>
    </row>
    <row r="219" spans="1:10" x14ac:dyDescent="0.25">
      <c r="A219">
        <v>10</v>
      </c>
      <c r="B219">
        <v>22100067</v>
      </c>
      <c r="C219" s="94">
        <v>44651</v>
      </c>
      <c r="D219">
        <v>-25</v>
      </c>
      <c r="E219">
        <v>-25</v>
      </c>
      <c r="F219" t="s">
        <v>477</v>
      </c>
      <c r="G219">
        <v>70307000</v>
      </c>
      <c r="H219" t="s">
        <v>385</v>
      </c>
      <c r="I219" t="str">
        <f t="shared" si="3"/>
        <v>70307000 Studiedag 1</v>
      </c>
      <c r="J219" t="s">
        <v>384</v>
      </c>
    </row>
    <row r="220" spans="1:10" x14ac:dyDescent="0.25">
      <c r="A220">
        <v>10</v>
      </c>
      <c r="B220">
        <v>22100068</v>
      </c>
      <c r="C220" s="94">
        <v>44652</v>
      </c>
      <c r="D220">
        <v>-100</v>
      </c>
      <c r="E220">
        <v>-100</v>
      </c>
      <c r="F220" t="s">
        <v>473</v>
      </c>
      <c r="G220">
        <v>70307000</v>
      </c>
      <c r="H220" t="s">
        <v>385</v>
      </c>
      <c r="I220" t="str">
        <f t="shared" si="3"/>
        <v>70307000 Studiedag 1</v>
      </c>
      <c r="J220" t="s">
        <v>384</v>
      </c>
    </row>
    <row r="221" spans="1:10" x14ac:dyDescent="0.25">
      <c r="A221">
        <v>10</v>
      </c>
      <c r="B221">
        <v>22100072</v>
      </c>
      <c r="C221" s="94">
        <v>44658</v>
      </c>
      <c r="D221">
        <v>-75</v>
      </c>
      <c r="E221">
        <v>-75</v>
      </c>
      <c r="F221" t="s">
        <v>445</v>
      </c>
      <c r="G221">
        <v>70307000</v>
      </c>
      <c r="H221" t="s">
        <v>385</v>
      </c>
      <c r="I221" t="str">
        <f t="shared" si="3"/>
        <v>70307000 Studiedag 1</v>
      </c>
      <c r="J221" t="s">
        <v>384</v>
      </c>
    </row>
    <row r="222" spans="1:10" x14ac:dyDescent="0.25">
      <c r="A222">
        <v>10</v>
      </c>
      <c r="B222">
        <v>22100073</v>
      </c>
      <c r="C222" s="94">
        <v>44659</v>
      </c>
      <c r="D222">
        <v>-75</v>
      </c>
      <c r="E222">
        <v>-75</v>
      </c>
      <c r="F222" t="s">
        <v>442</v>
      </c>
      <c r="G222">
        <v>70307000</v>
      </c>
      <c r="H222" t="s">
        <v>385</v>
      </c>
      <c r="I222" t="str">
        <f t="shared" si="3"/>
        <v>70307000 Studiedag 1</v>
      </c>
      <c r="J222" t="s">
        <v>384</v>
      </c>
    </row>
    <row r="223" spans="1:10" x14ac:dyDescent="0.25">
      <c r="A223">
        <v>10</v>
      </c>
      <c r="B223">
        <v>22100073</v>
      </c>
      <c r="C223" s="94">
        <v>44659</v>
      </c>
      <c r="D223">
        <v>-25</v>
      </c>
      <c r="E223">
        <v>-25</v>
      </c>
      <c r="F223" t="s">
        <v>439</v>
      </c>
      <c r="G223">
        <v>70307000</v>
      </c>
      <c r="H223" t="s">
        <v>385</v>
      </c>
      <c r="I223" t="str">
        <f t="shared" si="3"/>
        <v>70307000 Studiedag 1</v>
      </c>
      <c r="J223" t="s">
        <v>384</v>
      </c>
    </row>
    <row r="224" spans="1:10" x14ac:dyDescent="0.25">
      <c r="A224">
        <v>10</v>
      </c>
      <c r="B224">
        <v>22100075</v>
      </c>
      <c r="C224" s="94">
        <v>44661</v>
      </c>
      <c r="D224">
        <v>-5</v>
      </c>
      <c r="E224">
        <v>-5</v>
      </c>
      <c r="F224" t="s">
        <v>437</v>
      </c>
      <c r="G224">
        <v>70307000</v>
      </c>
      <c r="H224" t="s">
        <v>385</v>
      </c>
      <c r="I224" t="str">
        <f t="shared" si="3"/>
        <v>70307000 Studiedag 1</v>
      </c>
      <c r="J224" t="s">
        <v>384</v>
      </c>
    </row>
    <row r="225" spans="1:10" x14ac:dyDescent="0.25">
      <c r="A225">
        <v>10</v>
      </c>
      <c r="B225">
        <v>22100077</v>
      </c>
      <c r="C225" s="94">
        <v>44663</v>
      </c>
      <c r="D225">
        <v>-25</v>
      </c>
      <c r="E225">
        <v>-25</v>
      </c>
      <c r="F225" t="s">
        <v>436</v>
      </c>
      <c r="G225">
        <v>70307000</v>
      </c>
      <c r="H225" t="s">
        <v>385</v>
      </c>
      <c r="I225" t="str">
        <f t="shared" si="3"/>
        <v>70307000 Studiedag 1</v>
      </c>
      <c r="J225" t="s">
        <v>384</v>
      </c>
    </row>
    <row r="226" spans="1:10" x14ac:dyDescent="0.25">
      <c r="A226">
        <v>10</v>
      </c>
      <c r="B226">
        <v>22100079</v>
      </c>
      <c r="C226" s="94">
        <v>44665</v>
      </c>
      <c r="D226">
        <v>-25</v>
      </c>
      <c r="E226">
        <v>-25</v>
      </c>
      <c r="F226" t="s">
        <v>428</v>
      </c>
      <c r="G226">
        <v>70307000</v>
      </c>
      <c r="H226" t="s">
        <v>385</v>
      </c>
      <c r="I226" t="str">
        <f t="shared" si="3"/>
        <v>70307000 Studiedag 1</v>
      </c>
      <c r="J226" t="s">
        <v>384</v>
      </c>
    </row>
    <row r="227" spans="1:10" x14ac:dyDescent="0.25">
      <c r="A227">
        <v>10</v>
      </c>
      <c r="B227">
        <v>22100080</v>
      </c>
      <c r="C227" s="94">
        <v>44670</v>
      </c>
      <c r="D227">
        <v>-5</v>
      </c>
      <c r="E227">
        <v>-5</v>
      </c>
      <c r="F227" t="s">
        <v>425</v>
      </c>
      <c r="G227">
        <v>70307000</v>
      </c>
      <c r="H227" t="s">
        <v>385</v>
      </c>
      <c r="I227" t="str">
        <f t="shared" si="3"/>
        <v>70307000 Studiedag 1</v>
      </c>
      <c r="J227" t="s">
        <v>384</v>
      </c>
    </row>
    <row r="228" spans="1:10" x14ac:dyDescent="0.25">
      <c r="A228">
        <v>10</v>
      </c>
      <c r="B228">
        <v>22100080</v>
      </c>
      <c r="C228" s="94">
        <v>44670</v>
      </c>
      <c r="D228">
        <v>-25</v>
      </c>
      <c r="E228">
        <v>-25</v>
      </c>
      <c r="F228" t="s">
        <v>423</v>
      </c>
      <c r="G228">
        <v>70307000</v>
      </c>
      <c r="H228" t="s">
        <v>385</v>
      </c>
      <c r="I228" t="str">
        <f t="shared" si="3"/>
        <v>70307000 Studiedag 1</v>
      </c>
      <c r="J228" t="s">
        <v>384</v>
      </c>
    </row>
    <row r="229" spans="1:10" x14ac:dyDescent="0.25">
      <c r="A229">
        <v>10</v>
      </c>
      <c r="B229">
        <v>22100083</v>
      </c>
      <c r="C229" s="94">
        <v>44673</v>
      </c>
      <c r="D229">
        <v>-25</v>
      </c>
      <c r="E229">
        <v>-25</v>
      </c>
      <c r="F229" t="s">
        <v>407</v>
      </c>
      <c r="G229">
        <v>70307000</v>
      </c>
      <c r="H229" t="s">
        <v>385</v>
      </c>
      <c r="I229" t="str">
        <f t="shared" si="3"/>
        <v>70307000 Studiedag 1</v>
      </c>
      <c r="J229" t="s">
        <v>384</v>
      </c>
    </row>
    <row r="230" spans="1:10" x14ac:dyDescent="0.25">
      <c r="A230">
        <v>10</v>
      </c>
      <c r="B230">
        <v>22100086</v>
      </c>
      <c r="C230" s="94">
        <v>44677</v>
      </c>
      <c r="D230">
        <v>-25</v>
      </c>
      <c r="E230">
        <v>-25</v>
      </c>
      <c r="F230" t="s">
        <v>391</v>
      </c>
      <c r="G230">
        <v>70307000</v>
      </c>
      <c r="H230" t="s">
        <v>385</v>
      </c>
      <c r="I230" t="str">
        <f t="shared" si="3"/>
        <v>70307000 Studiedag 1</v>
      </c>
      <c r="J230" t="s">
        <v>384</v>
      </c>
    </row>
    <row r="231" spans="1:10" x14ac:dyDescent="0.25">
      <c r="A231">
        <v>10</v>
      </c>
      <c r="B231">
        <v>22100086</v>
      </c>
      <c r="C231" s="94">
        <v>44677</v>
      </c>
      <c r="D231">
        <v>-5</v>
      </c>
      <c r="E231">
        <v>-5</v>
      </c>
      <c r="F231" t="s">
        <v>390</v>
      </c>
      <c r="G231">
        <v>70307000</v>
      </c>
      <c r="H231" t="s">
        <v>385</v>
      </c>
      <c r="I231" t="str">
        <f t="shared" si="3"/>
        <v>70307000 Studiedag 1</v>
      </c>
      <c r="J231" t="s">
        <v>384</v>
      </c>
    </row>
    <row r="232" spans="1:10" x14ac:dyDescent="0.25">
      <c r="A232">
        <v>10</v>
      </c>
      <c r="B232">
        <v>22100086</v>
      </c>
      <c r="C232" s="94">
        <v>44677</v>
      </c>
      <c r="D232">
        <v>-25</v>
      </c>
      <c r="E232">
        <v>-25</v>
      </c>
      <c r="F232" t="s">
        <v>387</v>
      </c>
      <c r="G232">
        <v>70307000</v>
      </c>
      <c r="H232" t="s">
        <v>385</v>
      </c>
      <c r="I232" t="str">
        <f t="shared" si="3"/>
        <v>70307000 Studiedag 1</v>
      </c>
      <c r="J232" t="s">
        <v>384</v>
      </c>
    </row>
    <row r="233" spans="1:10" x14ac:dyDescent="0.25">
      <c r="A233">
        <v>10</v>
      </c>
      <c r="B233">
        <v>22100086</v>
      </c>
      <c r="C233" s="94">
        <v>44677</v>
      </c>
      <c r="D233">
        <v>-25</v>
      </c>
      <c r="E233">
        <v>-25</v>
      </c>
      <c r="F233" t="s">
        <v>397</v>
      </c>
      <c r="G233">
        <v>70307000</v>
      </c>
      <c r="H233" t="s">
        <v>385</v>
      </c>
      <c r="I233" t="str">
        <f t="shared" si="3"/>
        <v>70307000 Studiedag 1</v>
      </c>
      <c r="J233" t="s">
        <v>384</v>
      </c>
    </row>
    <row r="234" spans="1:10" x14ac:dyDescent="0.25">
      <c r="A234">
        <v>10</v>
      </c>
      <c r="B234">
        <v>22100086</v>
      </c>
      <c r="C234" s="94">
        <v>44677</v>
      </c>
      <c r="D234">
        <v>-25</v>
      </c>
      <c r="E234">
        <v>-25</v>
      </c>
      <c r="F234" t="s">
        <v>394</v>
      </c>
      <c r="G234">
        <v>70307000</v>
      </c>
      <c r="H234" t="s">
        <v>385</v>
      </c>
      <c r="I234" t="str">
        <f t="shared" si="3"/>
        <v>70307000 Studiedag 1</v>
      </c>
      <c r="J234" t="s">
        <v>384</v>
      </c>
    </row>
    <row r="235" spans="1:10" x14ac:dyDescent="0.25">
      <c r="A235">
        <v>10</v>
      </c>
      <c r="B235">
        <v>22100086</v>
      </c>
      <c r="C235" s="94">
        <v>44677</v>
      </c>
      <c r="D235">
        <v>-25</v>
      </c>
      <c r="E235">
        <v>-25</v>
      </c>
      <c r="F235" t="s">
        <v>386</v>
      </c>
      <c r="G235">
        <v>70307000</v>
      </c>
      <c r="H235" t="s">
        <v>385</v>
      </c>
      <c r="I235" t="str">
        <f t="shared" si="3"/>
        <v>70307000 Studiedag 1</v>
      </c>
      <c r="J235" t="s">
        <v>384</v>
      </c>
    </row>
    <row r="236" spans="1:10" x14ac:dyDescent="0.25">
      <c r="A236">
        <v>10</v>
      </c>
      <c r="B236">
        <v>22100087</v>
      </c>
      <c r="C236" s="94">
        <v>44678</v>
      </c>
      <c r="D236">
        <v>-25</v>
      </c>
      <c r="E236">
        <v>-25</v>
      </c>
      <c r="F236" t="s">
        <v>381</v>
      </c>
      <c r="G236">
        <v>70307000</v>
      </c>
      <c r="H236" t="s">
        <v>385</v>
      </c>
      <c r="I236" t="str">
        <f t="shared" si="3"/>
        <v>70307000 Studiedag 1</v>
      </c>
      <c r="J236" t="s">
        <v>384</v>
      </c>
    </row>
    <row r="237" spans="1:10" x14ac:dyDescent="0.25">
      <c r="A237">
        <v>10</v>
      </c>
      <c r="B237">
        <v>22100087</v>
      </c>
      <c r="C237" s="94">
        <v>44678</v>
      </c>
      <c r="D237">
        <v>-25</v>
      </c>
      <c r="E237">
        <v>-25</v>
      </c>
      <c r="F237" t="s">
        <v>379</v>
      </c>
      <c r="G237">
        <v>70307000</v>
      </c>
      <c r="H237" t="s">
        <v>385</v>
      </c>
      <c r="I237" t="str">
        <f t="shared" si="3"/>
        <v>70307000 Studiedag 1</v>
      </c>
      <c r="J237" t="s">
        <v>384</v>
      </c>
    </row>
    <row r="238" spans="1:10" x14ac:dyDescent="0.25">
      <c r="A238">
        <v>10</v>
      </c>
      <c r="B238">
        <v>22100087</v>
      </c>
      <c r="C238" s="94">
        <v>44678</v>
      </c>
      <c r="D238">
        <v>-25</v>
      </c>
      <c r="E238">
        <v>-25</v>
      </c>
      <c r="F238" t="s">
        <v>380</v>
      </c>
      <c r="G238">
        <v>70307000</v>
      </c>
      <c r="H238" t="s">
        <v>385</v>
      </c>
      <c r="I238" t="str">
        <f t="shared" si="3"/>
        <v>70307000 Studiedag 1</v>
      </c>
      <c r="J238" t="s">
        <v>384</v>
      </c>
    </row>
    <row r="239" spans="1:10" x14ac:dyDescent="0.25">
      <c r="A239">
        <v>10</v>
      </c>
      <c r="B239">
        <v>22100024</v>
      </c>
      <c r="C239" s="94">
        <v>44596</v>
      </c>
      <c r="D239">
        <v>-79</v>
      </c>
      <c r="E239">
        <v>-79</v>
      </c>
      <c r="F239" t="s">
        <v>621</v>
      </c>
      <c r="G239">
        <v>70510000</v>
      </c>
      <c r="H239" t="s">
        <v>8</v>
      </c>
      <c r="I239" t="str">
        <f t="shared" si="3"/>
        <v>70510000 Bijdragen individuele leden</v>
      </c>
      <c r="J239" t="s">
        <v>364</v>
      </c>
    </row>
    <row r="240" spans="1:10" x14ac:dyDescent="0.25">
      <c r="A240">
        <v>10</v>
      </c>
      <c r="B240">
        <v>22100034</v>
      </c>
      <c r="C240" s="94">
        <v>44608</v>
      </c>
      <c r="D240">
        <v>-79</v>
      </c>
      <c r="E240">
        <v>-79</v>
      </c>
      <c r="F240" t="s">
        <v>608</v>
      </c>
      <c r="G240">
        <v>70510000</v>
      </c>
      <c r="H240" t="s">
        <v>8</v>
      </c>
      <c r="I240" t="str">
        <f t="shared" si="3"/>
        <v>70510000 Bijdragen individuele leden</v>
      </c>
      <c r="J240" t="s">
        <v>364</v>
      </c>
    </row>
    <row r="241" spans="1:10" x14ac:dyDescent="0.25">
      <c r="A241">
        <v>10</v>
      </c>
      <c r="B241">
        <v>22100044</v>
      </c>
      <c r="C241" s="94">
        <v>44623</v>
      </c>
      <c r="D241">
        <v>-25</v>
      </c>
      <c r="E241">
        <v>-25</v>
      </c>
      <c r="F241" t="s">
        <v>587</v>
      </c>
      <c r="G241">
        <v>70510000</v>
      </c>
      <c r="H241" t="s">
        <v>8</v>
      </c>
      <c r="I241" t="str">
        <f t="shared" si="3"/>
        <v>70510000 Bijdragen individuele leden</v>
      </c>
      <c r="J241" t="s">
        <v>364</v>
      </c>
    </row>
    <row r="242" spans="1:10" x14ac:dyDescent="0.25">
      <c r="A242">
        <v>10</v>
      </c>
      <c r="B242">
        <v>22100046</v>
      </c>
      <c r="C242" s="94">
        <v>44625</v>
      </c>
      <c r="D242">
        <v>-25</v>
      </c>
      <c r="E242">
        <v>-25</v>
      </c>
      <c r="F242" t="s">
        <v>585</v>
      </c>
      <c r="G242">
        <v>70510000</v>
      </c>
      <c r="H242" t="s">
        <v>8</v>
      </c>
      <c r="I242" t="str">
        <f t="shared" si="3"/>
        <v>70510000 Bijdragen individuele leden</v>
      </c>
      <c r="J242" t="s">
        <v>364</v>
      </c>
    </row>
    <row r="243" spans="1:10" x14ac:dyDescent="0.25">
      <c r="A243">
        <v>10</v>
      </c>
      <c r="B243">
        <v>22100046</v>
      </c>
      <c r="C243" s="94">
        <v>44625</v>
      </c>
      <c r="D243">
        <v>-25</v>
      </c>
      <c r="E243">
        <v>-25</v>
      </c>
      <c r="F243" t="s">
        <v>584</v>
      </c>
      <c r="G243">
        <v>70510000</v>
      </c>
      <c r="H243" t="s">
        <v>8</v>
      </c>
      <c r="I243" t="str">
        <f t="shared" si="3"/>
        <v>70510000 Bijdragen individuele leden</v>
      </c>
      <c r="J243" t="s">
        <v>364</v>
      </c>
    </row>
    <row r="244" spans="1:10" x14ac:dyDescent="0.25">
      <c r="A244">
        <v>10</v>
      </c>
      <c r="B244">
        <v>22100047</v>
      </c>
      <c r="C244" s="94">
        <v>44627</v>
      </c>
      <c r="D244">
        <v>-79</v>
      </c>
      <c r="E244">
        <v>-79</v>
      </c>
      <c r="F244" t="s">
        <v>578</v>
      </c>
      <c r="G244">
        <v>70510000</v>
      </c>
      <c r="H244" t="s">
        <v>8</v>
      </c>
      <c r="I244" t="str">
        <f t="shared" si="3"/>
        <v>70510000 Bijdragen individuele leden</v>
      </c>
      <c r="J244" t="s">
        <v>364</v>
      </c>
    </row>
    <row r="245" spans="1:10" x14ac:dyDescent="0.25">
      <c r="A245">
        <v>10</v>
      </c>
      <c r="B245">
        <v>22100047</v>
      </c>
      <c r="C245" s="94">
        <v>44627</v>
      </c>
      <c r="D245">
        <v>-79</v>
      </c>
      <c r="E245">
        <v>-79</v>
      </c>
      <c r="F245" t="s">
        <v>583</v>
      </c>
      <c r="G245">
        <v>70510000</v>
      </c>
      <c r="H245" t="s">
        <v>8</v>
      </c>
      <c r="I245" t="str">
        <f t="shared" si="3"/>
        <v>70510000 Bijdragen individuele leden</v>
      </c>
      <c r="J245" t="s">
        <v>364</v>
      </c>
    </row>
    <row r="246" spans="1:10" x14ac:dyDescent="0.25">
      <c r="A246">
        <v>10</v>
      </c>
      <c r="B246">
        <v>22100047</v>
      </c>
      <c r="C246" s="94">
        <v>44627</v>
      </c>
      <c r="D246">
        <v>-25</v>
      </c>
      <c r="E246">
        <v>-25</v>
      </c>
      <c r="F246" t="s">
        <v>582</v>
      </c>
      <c r="G246">
        <v>70510000</v>
      </c>
      <c r="H246" t="s">
        <v>8</v>
      </c>
      <c r="I246" t="str">
        <f t="shared" si="3"/>
        <v>70510000 Bijdragen individuele leden</v>
      </c>
      <c r="J246" t="s">
        <v>364</v>
      </c>
    </row>
    <row r="247" spans="1:10" x14ac:dyDescent="0.25">
      <c r="A247">
        <v>10</v>
      </c>
      <c r="B247">
        <v>22100047</v>
      </c>
      <c r="C247" s="94">
        <v>44627</v>
      </c>
      <c r="D247">
        <v>-25</v>
      </c>
      <c r="E247">
        <v>-25</v>
      </c>
      <c r="F247" t="s">
        <v>581</v>
      </c>
      <c r="G247">
        <v>70510000</v>
      </c>
      <c r="H247" t="s">
        <v>8</v>
      </c>
      <c r="I247" t="str">
        <f t="shared" si="3"/>
        <v>70510000 Bijdragen individuele leden</v>
      </c>
      <c r="J247" t="s">
        <v>364</v>
      </c>
    </row>
    <row r="248" spans="1:10" x14ac:dyDescent="0.25">
      <c r="A248">
        <v>10</v>
      </c>
      <c r="B248">
        <v>22100047</v>
      </c>
      <c r="C248" s="94">
        <v>44627</v>
      </c>
      <c r="D248">
        <v>-79</v>
      </c>
      <c r="E248">
        <v>-79</v>
      </c>
      <c r="F248" t="s">
        <v>580</v>
      </c>
      <c r="G248">
        <v>70510000</v>
      </c>
      <c r="H248" t="s">
        <v>8</v>
      </c>
      <c r="I248" t="str">
        <f t="shared" si="3"/>
        <v>70510000 Bijdragen individuele leden</v>
      </c>
      <c r="J248" t="s">
        <v>364</v>
      </c>
    </row>
    <row r="249" spans="1:10" x14ac:dyDescent="0.25">
      <c r="A249">
        <v>10</v>
      </c>
      <c r="B249">
        <v>22100047</v>
      </c>
      <c r="C249" s="94">
        <v>44627</v>
      </c>
      <c r="D249">
        <v>-79</v>
      </c>
      <c r="E249">
        <v>-79</v>
      </c>
      <c r="F249" t="s">
        <v>579</v>
      </c>
      <c r="G249">
        <v>70510000</v>
      </c>
      <c r="H249" t="s">
        <v>8</v>
      </c>
      <c r="I249" t="str">
        <f t="shared" si="3"/>
        <v>70510000 Bijdragen individuele leden</v>
      </c>
      <c r="J249" t="s">
        <v>364</v>
      </c>
    </row>
    <row r="250" spans="1:10" x14ac:dyDescent="0.25">
      <c r="A250">
        <v>10</v>
      </c>
      <c r="B250">
        <v>22100047</v>
      </c>
      <c r="C250" s="94">
        <v>44627</v>
      </c>
      <c r="D250">
        <v>-25</v>
      </c>
      <c r="E250">
        <v>-25</v>
      </c>
      <c r="F250" t="s">
        <v>577</v>
      </c>
      <c r="G250">
        <v>70510000</v>
      </c>
      <c r="H250" t="s">
        <v>8</v>
      </c>
      <c r="I250" t="str">
        <f t="shared" si="3"/>
        <v>70510000 Bijdragen individuele leden</v>
      </c>
      <c r="J250" t="s">
        <v>364</v>
      </c>
    </row>
    <row r="251" spans="1:10" x14ac:dyDescent="0.25">
      <c r="A251">
        <v>10</v>
      </c>
      <c r="B251">
        <v>22100048</v>
      </c>
      <c r="C251" s="94">
        <v>44628</v>
      </c>
      <c r="D251">
        <v>-25</v>
      </c>
      <c r="E251">
        <v>-25</v>
      </c>
      <c r="F251" t="s">
        <v>572</v>
      </c>
      <c r="G251">
        <v>70510000</v>
      </c>
      <c r="H251" t="s">
        <v>8</v>
      </c>
      <c r="I251" t="str">
        <f t="shared" si="3"/>
        <v>70510000 Bijdragen individuele leden</v>
      </c>
      <c r="J251" t="s">
        <v>364</v>
      </c>
    </row>
    <row r="252" spans="1:10" x14ac:dyDescent="0.25">
      <c r="A252">
        <v>10</v>
      </c>
      <c r="B252">
        <v>22100048</v>
      </c>
      <c r="C252" s="94">
        <v>44628</v>
      </c>
      <c r="D252">
        <v>-25</v>
      </c>
      <c r="E252">
        <v>-25</v>
      </c>
      <c r="F252" t="s">
        <v>574</v>
      </c>
      <c r="G252">
        <v>70510000</v>
      </c>
      <c r="H252" t="s">
        <v>8</v>
      </c>
      <c r="I252" t="str">
        <f t="shared" si="3"/>
        <v>70510000 Bijdragen individuele leden</v>
      </c>
      <c r="J252" t="s">
        <v>364</v>
      </c>
    </row>
    <row r="253" spans="1:10" x14ac:dyDescent="0.25">
      <c r="A253">
        <v>10</v>
      </c>
      <c r="B253">
        <v>22100048</v>
      </c>
      <c r="C253" s="94">
        <v>44628</v>
      </c>
      <c r="D253">
        <v>-79</v>
      </c>
      <c r="E253">
        <v>-79</v>
      </c>
      <c r="F253" t="s">
        <v>575</v>
      </c>
      <c r="G253">
        <v>70510000</v>
      </c>
      <c r="H253" t="s">
        <v>8</v>
      </c>
      <c r="I253" t="str">
        <f t="shared" si="3"/>
        <v>70510000 Bijdragen individuele leden</v>
      </c>
      <c r="J253" t="s">
        <v>364</v>
      </c>
    </row>
    <row r="254" spans="1:10" x14ac:dyDescent="0.25">
      <c r="A254">
        <v>10</v>
      </c>
      <c r="B254">
        <v>22100049</v>
      </c>
      <c r="C254" s="94">
        <v>44629</v>
      </c>
      <c r="D254">
        <v>-25</v>
      </c>
      <c r="E254">
        <v>-25</v>
      </c>
      <c r="F254" t="s">
        <v>565</v>
      </c>
      <c r="G254">
        <v>70510000</v>
      </c>
      <c r="H254" t="s">
        <v>8</v>
      </c>
      <c r="I254" t="str">
        <f t="shared" si="3"/>
        <v>70510000 Bijdragen individuele leden</v>
      </c>
      <c r="J254" t="s">
        <v>364</v>
      </c>
    </row>
    <row r="255" spans="1:10" x14ac:dyDescent="0.25">
      <c r="A255">
        <v>10</v>
      </c>
      <c r="B255">
        <v>22100049</v>
      </c>
      <c r="C255" s="94">
        <v>44629</v>
      </c>
      <c r="D255">
        <v>-25</v>
      </c>
      <c r="E255">
        <v>-25</v>
      </c>
      <c r="F255" t="s">
        <v>570</v>
      </c>
      <c r="G255">
        <v>70510000</v>
      </c>
      <c r="H255" t="s">
        <v>8</v>
      </c>
      <c r="I255" t="str">
        <f t="shared" si="3"/>
        <v>70510000 Bijdragen individuele leden</v>
      </c>
      <c r="J255" t="s">
        <v>364</v>
      </c>
    </row>
    <row r="256" spans="1:10" x14ac:dyDescent="0.25">
      <c r="A256">
        <v>10</v>
      </c>
      <c r="B256">
        <v>22100049</v>
      </c>
      <c r="C256" s="94">
        <v>44629</v>
      </c>
      <c r="D256">
        <v>-25</v>
      </c>
      <c r="E256">
        <v>-25</v>
      </c>
      <c r="F256" t="s">
        <v>564</v>
      </c>
      <c r="G256">
        <v>70510000</v>
      </c>
      <c r="H256" t="s">
        <v>8</v>
      </c>
      <c r="I256" t="str">
        <f t="shared" si="3"/>
        <v>70510000 Bijdragen individuele leden</v>
      </c>
      <c r="J256" t="s">
        <v>364</v>
      </c>
    </row>
    <row r="257" spans="1:10" x14ac:dyDescent="0.25">
      <c r="A257">
        <v>10</v>
      </c>
      <c r="B257">
        <v>22100049</v>
      </c>
      <c r="C257" s="94">
        <v>44629</v>
      </c>
      <c r="D257">
        <v>-25</v>
      </c>
      <c r="E257">
        <v>-25</v>
      </c>
      <c r="F257" t="s">
        <v>569</v>
      </c>
      <c r="G257">
        <v>70510000</v>
      </c>
      <c r="H257" t="s">
        <v>8</v>
      </c>
      <c r="I257" t="str">
        <f t="shared" si="3"/>
        <v>70510000 Bijdragen individuele leden</v>
      </c>
      <c r="J257" t="s">
        <v>364</v>
      </c>
    </row>
    <row r="258" spans="1:10" x14ac:dyDescent="0.25">
      <c r="A258">
        <v>10</v>
      </c>
      <c r="B258">
        <v>22100050</v>
      </c>
      <c r="C258" s="94">
        <v>44630</v>
      </c>
      <c r="D258">
        <v>-25</v>
      </c>
      <c r="E258">
        <v>-25</v>
      </c>
      <c r="F258" t="s">
        <v>562</v>
      </c>
      <c r="G258">
        <v>70510000</v>
      </c>
      <c r="H258" t="s">
        <v>8</v>
      </c>
      <c r="I258" t="str">
        <f t="shared" ref="I258:I321" si="4">CONCATENATE(G258," ",H258)</f>
        <v>70510000 Bijdragen individuele leden</v>
      </c>
      <c r="J258" t="s">
        <v>364</v>
      </c>
    </row>
    <row r="259" spans="1:10" x14ac:dyDescent="0.25">
      <c r="A259">
        <v>10</v>
      </c>
      <c r="B259">
        <v>22100050</v>
      </c>
      <c r="C259" s="94">
        <v>44630</v>
      </c>
      <c r="D259">
        <v>-79</v>
      </c>
      <c r="E259">
        <v>-79</v>
      </c>
      <c r="F259" t="s">
        <v>560</v>
      </c>
      <c r="G259">
        <v>70510000</v>
      </c>
      <c r="H259" t="s">
        <v>8</v>
      </c>
      <c r="I259" t="str">
        <f t="shared" si="4"/>
        <v>70510000 Bijdragen individuele leden</v>
      </c>
      <c r="J259" t="s">
        <v>364</v>
      </c>
    </row>
    <row r="260" spans="1:10" x14ac:dyDescent="0.25">
      <c r="A260">
        <v>10</v>
      </c>
      <c r="B260">
        <v>22100050</v>
      </c>
      <c r="C260" s="94">
        <v>44630</v>
      </c>
      <c r="D260">
        <v>-25</v>
      </c>
      <c r="E260">
        <v>-25</v>
      </c>
      <c r="F260" t="s">
        <v>558</v>
      </c>
      <c r="G260">
        <v>70510000</v>
      </c>
      <c r="H260" t="s">
        <v>8</v>
      </c>
      <c r="I260" t="str">
        <f t="shared" si="4"/>
        <v>70510000 Bijdragen individuele leden</v>
      </c>
      <c r="J260" t="s">
        <v>364</v>
      </c>
    </row>
    <row r="261" spans="1:10" x14ac:dyDescent="0.25">
      <c r="A261">
        <v>10</v>
      </c>
      <c r="B261">
        <v>22100050</v>
      </c>
      <c r="C261" s="94">
        <v>44630</v>
      </c>
      <c r="D261">
        <v>-79</v>
      </c>
      <c r="E261">
        <v>-79</v>
      </c>
      <c r="F261" t="s">
        <v>556</v>
      </c>
      <c r="G261">
        <v>70510000</v>
      </c>
      <c r="H261" t="s">
        <v>8</v>
      </c>
      <c r="I261" t="str">
        <f t="shared" si="4"/>
        <v>70510000 Bijdragen individuele leden</v>
      </c>
      <c r="J261" t="s">
        <v>364</v>
      </c>
    </row>
    <row r="262" spans="1:10" x14ac:dyDescent="0.25">
      <c r="A262">
        <v>10</v>
      </c>
      <c r="B262">
        <v>22100051</v>
      </c>
      <c r="C262" s="94">
        <v>44631</v>
      </c>
      <c r="D262">
        <v>-79</v>
      </c>
      <c r="E262">
        <v>-79</v>
      </c>
      <c r="F262" t="s">
        <v>553</v>
      </c>
      <c r="G262">
        <v>70510000</v>
      </c>
      <c r="H262" t="s">
        <v>8</v>
      </c>
      <c r="I262" t="str">
        <f t="shared" si="4"/>
        <v>70510000 Bijdragen individuele leden</v>
      </c>
      <c r="J262" t="s">
        <v>364</v>
      </c>
    </row>
    <row r="263" spans="1:10" x14ac:dyDescent="0.25">
      <c r="A263">
        <v>10</v>
      </c>
      <c r="B263">
        <v>22100051</v>
      </c>
      <c r="C263" s="94">
        <v>44631</v>
      </c>
      <c r="D263">
        <v>-79</v>
      </c>
      <c r="E263">
        <v>-79</v>
      </c>
      <c r="F263" t="s">
        <v>550</v>
      </c>
      <c r="G263">
        <v>70510000</v>
      </c>
      <c r="H263" t="s">
        <v>8</v>
      </c>
      <c r="I263" t="str">
        <f t="shared" si="4"/>
        <v>70510000 Bijdragen individuele leden</v>
      </c>
      <c r="J263" t="s">
        <v>364</v>
      </c>
    </row>
    <row r="264" spans="1:10" x14ac:dyDescent="0.25">
      <c r="A264">
        <v>10</v>
      </c>
      <c r="B264">
        <v>22100051</v>
      </c>
      <c r="C264" s="94">
        <v>44631</v>
      </c>
      <c r="D264">
        <v>-79</v>
      </c>
      <c r="E264">
        <v>-79</v>
      </c>
      <c r="F264" t="s">
        <v>549</v>
      </c>
      <c r="G264">
        <v>70510000</v>
      </c>
      <c r="H264" t="s">
        <v>8</v>
      </c>
      <c r="I264" t="str">
        <f t="shared" si="4"/>
        <v>70510000 Bijdragen individuele leden</v>
      </c>
      <c r="J264" t="s">
        <v>364</v>
      </c>
    </row>
    <row r="265" spans="1:10" x14ac:dyDescent="0.25">
      <c r="A265">
        <v>10</v>
      </c>
      <c r="B265">
        <v>22100052</v>
      </c>
      <c r="C265" s="94">
        <v>44634</v>
      </c>
      <c r="D265">
        <v>-25</v>
      </c>
      <c r="E265">
        <v>-25</v>
      </c>
      <c r="F265" t="s">
        <v>548</v>
      </c>
      <c r="G265">
        <v>70510000</v>
      </c>
      <c r="H265" t="s">
        <v>8</v>
      </c>
      <c r="I265" t="str">
        <f t="shared" si="4"/>
        <v>70510000 Bijdragen individuele leden</v>
      </c>
      <c r="J265" t="s">
        <v>364</v>
      </c>
    </row>
    <row r="266" spans="1:10" x14ac:dyDescent="0.25">
      <c r="A266">
        <v>10</v>
      </c>
      <c r="B266">
        <v>22100052</v>
      </c>
      <c r="C266" s="94">
        <v>44634</v>
      </c>
      <c r="D266">
        <v>-79</v>
      </c>
      <c r="E266">
        <v>-79</v>
      </c>
      <c r="F266" t="s">
        <v>547</v>
      </c>
      <c r="G266">
        <v>70510000</v>
      </c>
      <c r="H266" t="s">
        <v>8</v>
      </c>
      <c r="I266" t="str">
        <f t="shared" si="4"/>
        <v>70510000 Bijdragen individuele leden</v>
      </c>
      <c r="J266" t="s">
        <v>364</v>
      </c>
    </row>
    <row r="267" spans="1:10" x14ac:dyDescent="0.25">
      <c r="A267">
        <v>10</v>
      </c>
      <c r="B267">
        <v>22100052</v>
      </c>
      <c r="C267" s="94">
        <v>44634</v>
      </c>
      <c r="D267">
        <v>-79</v>
      </c>
      <c r="E267">
        <v>-79</v>
      </c>
      <c r="F267" t="s">
        <v>545</v>
      </c>
      <c r="G267">
        <v>70510000</v>
      </c>
      <c r="H267" t="s">
        <v>8</v>
      </c>
      <c r="I267" t="str">
        <f t="shared" si="4"/>
        <v>70510000 Bijdragen individuele leden</v>
      </c>
      <c r="J267" t="s">
        <v>364</v>
      </c>
    </row>
    <row r="268" spans="1:10" x14ac:dyDescent="0.25">
      <c r="A268">
        <v>10</v>
      </c>
      <c r="B268">
        <v>22100052</v>
      </c>
      <c r="C268" s="94">
        <v>44634</v>
      </c>
      <c r="D268">
        <v>-79</v>
      </c>
      <c r="E268">
        <v>-79</v>
      </c>
      <c r="F268" t="s">
        <v>546</v>
      </c>
      <c r="G268">
        <v>70510000</v>
      </c>
      <c r="H268" t="s">
        <v>8</v>
      </c>
      <c r="I268" t="str">
        <f t="shared" si="4"/>
        <v>70510000 Bijdragen individuele leden</v>
      </c>
      <c r="J268" t="s">
        <v>364</v>
      </c>
    </row>
    <row r="269" spans="1:10" x14ac:dyDescent="0.25">
      <c r="A269">
        <v>10</v>
      </c>
      <c r="B269">
        <v>22100053</v>
      </c>
      <c r="C269" s="94">
        <v>44635</v>
      </c>
      <c r="D269">
        <v>-79</v>
      </c>
      <c r="E269">
        <v>-79</v>
      </c>
      <c r="F269" t="s">
        <v>536</v>
      </c>
      <c r="G269">
        <v>70510000</v>
      </c>
      <c r="H269" t="s">
        <v>8</v>
      </c>
      <c r="I269" t="str">
        <f t="shared" si="4"/>
        <v>70510000 Bijdragen individuele leden</v>
      </c>
      <c r="J269" t="s">
        <v>364</v>
      </c>
    </row>
    <row r="270" spans="1:10" x14ac:dyDescent="0.25">
      <c r="A270">
        <v>10</v>
      </c>
      <c r="B270">
        <v>22100053</v>
      </c>
      <c r="C270" s="94">
        <v>44635</v>
      </c>
      <c r="D270">
        <v>-25</v>
      </c>
      <c r="E270">
        <v>-25</v>
      </c>
      <c r="F270" t="s">
        <v>541</v>
      </c>
      <c r="G270">
        <v>70510000</v>
      </c>
      <c r="H270" t="s">
        <v>8</v>
      </c>
      <c r="I270" t="str">
        <f t="shared" si="4"/>
        <v>70510000 Bijdragen individuele leden</v>
      </c>
      <c r="J270" t="s">
        <v>364</v>
      </c>
    </row>
    <row r="271" spans="1:10" x14ac:dyDescent="0.25">
      <c r="A271">
        <v>10</v>
      </c>
      <c r="B271">
        <v>22100053</v>
      </c>
      <c r="C271" s="94">
        <v>44635</v>
      </c>
      <c r="D271">
        <v>-25</v>
      </c>
      <c r="E271">
        <v>-25</v>
      </c>
      <c r="F271" t="s">
        <v>540</v>
      </c>
      <c r="G271">
        <v>70510000</v>
      </c>
      <c r="H271" t="s">
        <v>8</v>
      </c>
      <c r="I271" t="str">
        <f t="shared" si="4"/>
        <v>70510000 Bijdragen individuele leden</v>
      </c>
      <c r="J271" t="s">
        <v>364</v>
      </c>
    </row>
    <row r="272" spans="1:10" x14ac:dyDescent="0.25">
      <c r="A272">
        <v>10</v>
      </c>
      <c r="B272">
        <v>22100054</v>
      </c>
      <c r="C272" s="94">
        <v>44636</v>
      </c>
      <c r="D272">
        <v>-25</v>
      </c>
      <c r="E272">
        <v>-25</v>
      </c>
      <c r="F272" t="s">
        <v>534</v>
      </c>
      <c r="G272">
        <v>70510000</v>
      </c>
      <c r="H272" t="s">
        <v>8</v>
      </c>
      <c r="I272" t="str">
        <f t="shared" si="4"/>
        <v>70510000 Bijdragen individuele leden</v>
      </c>
      <c r="J272" t="s">
        <v>364</v>
      </c>
    </row>
    <row r="273" spans="1:10" x14ac:dyDescent="0.25">
      <c r="A273">
        <v>10</v>
      </c>
      <c r="B273">
        <v>22100055</v>
      </c>
      <c r="C273" s="94">
        <v>44637</v>
      </c>
      <c r="D273">
        <v>-79</v>
      </c>
      <c r="E273">
        <v>-79</v>
      </c>
      <c r="F273" t="s">
        <v>532</v>
      </c>
      <c r="G273">
        <v>70510000</v>
      </c>
      <c r="H273" t="s">
        <v>8</v>
      </c>
      <c r="I273" t="str">
        <f t="shared" si="4"/>
        <v>70510000 Bijdragen individuele leden</v>
      </c>
      <c r="J273" t="s">
        <v>364</v>
      </c>
    </row>
    <row r="274" spans="1:10" x14ac:dyDescent="0.25">
      <c r="A274">
        <v>10</v>
      </c>
      <c r="B274">
        <v>22100056</v>
      </c>
      <c r="C274" s="94">
        <v>44638</v>
      </c>
      <c r="D274">
        <v>-79</v>
      </c>
      <c r="E274">
        <v>-79</v>
      </c>
      <c r="F274" t="s">
        <v>526</v>
      </c>
      <c r="G274">
        <v>70510000</v>
      </c>
      <c r="H274" t="s">
        <v>8</v>
      </c>
      <c r="I274" t="str">
        <f t="shared" si="4"/>
        <v>70510000 Bijdragen individuele leden</v>
      </c>
      <c r="J274" t="s">
        <v>364</v>
      </c>
    </row>
    <row r="275" spans="1:10" x14ac:dyDescent="0.25">
      <c r="A275">
        <v>10</v>
      </c>
      <c r="B275">
        <v>22100057</v>
      </c>
      <c r="C275" s="94">
        <v>44639</v>
      </c>
      <c r="D275">
        <v>-25</v>
      </c>
      <c r="E275">
        <v>-25</v>
      </c>
      <c r="F275" t="s">
        <v>525</v>
      </c>
      <c r="G275">
        <v>70510000</v>
      </c>
      <c r="H275" t="s">
        <v>8</v>
      </c>
      <c r="I275" t="str">
        <f t="shared" si="4"/>
        <v>70510000 Bijdragen individuele leden</v>
      </c>
      <c r="J275" t="s">
        <v>364</v>
      </c>
    </row>
    <row r="276" spans="1:10" x14ac:dyDescent="0.25">
      <c r="A276">
        <v>10</v>
      </c>
      <c r="B276">
        <v>22100058</v>
      </c>
      <c r="C276" s="94">
        <v>44640</v>
      </c>
      <c r="D276">
        <v>-25</v>
      </c>
      <c r="E276">
        <v>-25</v>
      </c>
      <c r="F276" t="s">
        <v>523</v>
      </c>
      <c r="G276">
        <v>70510000</v>
      </c>
      <c r="H276" t="s">
        <v>8</v>
      </c>
      <c r="I276" t="str">
        <f t="shared" si="4"/>
        <v>70510000 Bijdragen individuele leden</v>
      </c>
      <c r="J276" t="s">
        <v>364</v>
      </c>
    </row>
    <row r="277" spans="1:10" x14ac:dyDescent="0.25">
      <c r="A277">
        <v>10</v>
      </c>
      <c r="B277">
        <v>22100059</v>
      </c>
      <c r="C277" s="94">
        <v>44641</v>
      </c>
      <c r="D277">
        <v>-79</v>
      </c>
      <c r="E277">
        <v>-79</v>
      </c>
      <c r="F277" t="s">
        <v>521</v>
      </c>
      <c r="G277">
        <v>70510000</v>
      </c>
      <c r="H277" t="s">
        <v>8</v>
      </c>
      <c r="I277" t="str">
        <f t="shared" si="4"/>
        <v>70510000 Bijdragen individuele leden</v>
      </c>
      <c r="J277" t="s">
        <v>364</v>
      </c>
    </row>
    <row r="278" spans="1:10" x14ac:dyDescent="0.25">
      <c r="A278">
        <v>10</v>
      </c>
      <c r="B278">
        <v>22100059</v>
      </c>
      <c r="C278" s="94">
        <v>44641</v>
      </c>
      <c r="D278">
        <v>-79</v>
      </c>
      <c r="E278">
        <v>-79</v>
      </c>
      <c r="F278" t="s">
        <v>519</v>
      </c>
      <c r="G278">
        <v>70510000</v>
      </c>
      <c r="H278" t="s">
        <v>8</v>
      </c>
      <c r="I278" t="str">
        <f t="shared" si="4"/>
        <v>70510000 Bijdragen individuele leden</v>
      </c>
      <c r="J278" t="s">
        <v>364</v>
      </c>
    </row>
    <row r="279" spans="1:10" x14ac:dyDescent="0.25">
      <c r="A279">
        <v>10</v>
      </c>
      <c r="B279">
        <v>22100060</v>
      </c>
      <c r="C279" s="94">
        <v>44642</v>
      </c>
      <c r="D279">
        <v>-25</v>
      </c>
      <c r="E279">
        <v>-25</v>
      </c>
      <c r="F279" t="s">
        <v>516</v>
      </c>
      <c r="G279">
        <v>70510000</v>
      </c>
      <c r="H279" t="s">
        <v>8</v>
      </c>
      <c r="I279" t="str">
        <f t="shared" si="4"/>
        <v>70510000 Bijdragen individuele leden</v>
      </c>
      <c r="J279" t="s">
        <v>364</v>
      </c>
    </row>
    <row r="280" spans="1:10" x14ac:dyDescent="0.25">
      <c r="A280">
        <v>10</v>
      </c>
      <c r="B280">
        <v>22100061</v>
      </c>
      <c r="C280" s="94">
        <v>44643</v>
      </c>
      <c r="D280">
        <v>-25</v>
      </c>
      <c r="E280">
        <v>-25</v>
      </c>
      <c r="F280" t="s">
        <v>515</v>
      </c>
      <c r="G280">
        <v>70510000</v>
      </c>
      <c r="H280" t="s">
        <v>8</v>
      </c>
      <c r="I280" t="str">
        <f t="shared" si="4"/>
        <v>70510000 Bijdragen individuele leden</v>
      </c>
      <c r="J280" t="s">
        <v>364</v>
      </c>
    </row>
    <row r="281" spans="1:10" x14ac:dyDescent="0.25">
      <c r="A281">
        <v>10</v>
      </c>
      <c r="B281">
        <v>22100061</v>
      </c>
      <c r="C281" s="94">
        <v>44643</v>
      </c>
      <c r="D281">
        <v>-79</v>
      </c>
      <c r="E281">
        <v>-79</v>
      </c>
      <c r="F281" t="s">
        <v>512</v>
      </c>
      <c r="G281">
        <v>70510000</v>
      </c>
      <c r="H281" t="s">
        <v>8</v>
      </c>
      <c r="I281" t="str">
        <f t="shared" si="4"/>
        <v>70510000 Bijdragen individuele leden</v>
      </c>
      <c r="J281" t="s">
        <v>364</v>
      </c>
    </row>
    <row r="282" spans="1:10" x14ac:dyDescent="0.25">
      <c r="A282">
        <v>10</v>
      </c>
      <c r="B282">
        <v>22100061</v>
      </c>
      <c r="C282" s="94">
        <v>44643</v>
      </c>
      <c r="D282">
        <v>-25</v>
      </c>
      <c r="E282">
        <v>-25</v>
      </c>
      <c r="F282" t="s">
        <v>509</v>
      </c>
      <c r="G282">
        <v>70510000</v>
      </c>
      <c r="H282" t="s">
        <v>8</v>
      </c>
      <c r="I282" t="str">
        <f t="shared" si="4"/>
        <v>70510000 Bijdragen individuele leden</v>
      </c>
      <c r="J282" t="s">
        <v>364</v>
      </c>
    </row>
    <row r="283" spans="1:10" x14ac:dyDescent="0.25">
      <c r="A283">
        <v>10</v>
      </c>
      <c r="B283">
        <v>22100063</v>
      </c>
      <c r="C283" s="94">
        <v>44645</v>
      </c>
      <c r="D283">
        <v>-41</v>
      </c>
      <c r="E283">
        <v>-41</v>
      </c>
      <c r="F283" t="s">
        <v>501</v>
      </c>
      <c r="G283">
        <v>70510000</v>
      </c>
      <c r="H283" t="s">
        <v>8</v>
      </c>
      <c r="I283" t="str">
        <f t="shared" si="4"/>
        <v>70510000 Bijdragen individuele leden</v>
      </c>
      <c r="J283" t="s">
        <v>364</v>
      </c>
    </row>
    <row r="284" spans="1:10" x14ac:dyDescent="0.25">
      <c r="A284">
        <v>10</v>
      </c>
      <c r="B284">
        <v>22100063</v>
      </c>
      <c r="C284" s="94">
        <v>44645</v>
      </c>
      <c r="D284">
        <v>-79</v>
      </c>
      <c r="E284">
        <v>-79</v>
      </c>
      <c r="F284" t="s">
        <v>505</v>
      </c>
      <c r="G284">
        <v>70510000</v>
      </c>
      <c r="H284" t="s">
        <v>8</v>
      </c>
      <c r="I284" t="str">
        <f t="shared" si="4"/>
        <v>70510000 Bijdragen individuele leden</v>
      </c>
      <c r="J284" t="s">
        <v>364</v>
      </c>
    </row>
    <row r="285" spans="1:10" x14ac:dyDescent="0.25">
      <c r="A285">
        <v>10</v>
      </c>
      <c r="B285">
        <v>22100064</v>
      </c>
      <c r="C285" s="94">
        <v>44648</v>
      </c>
      <c r="D285">
        <v>-25</v>
      </c>
      <c r="E285">
        <v>-25</v>
      </c>
      <c r="F285" t="s">
        <v>497</v>
      </c>
      <c r="G285">
        <v>70510000</v>
      </c>
      <c r="H285" t="s">
        <v>8</v>
      </c>
      <c r="I285" t="str">
        <f t="shared" si="4"/>
        <v>70510000 Bijdragen individuele leden</v>
      </c>
      <c r="J285" t="s">
        <v>364</v>
      </c>
    </row>
    <row r="286" spans="1:10" x14ac:dyDescent="0.25">
      <c r="A286">
        <v>10</v>
      </c>
      <c r="B286">
        <v>22100064</v>
      </c>
      <c r="C286" s="94">
        <v>44648</v>
      </c>
      <c r="D286">
        <v>-79</v>
      </c>
      <c r="E286">
        <v>-79</v>
      </c>
      <c r="F286" t="s">
        <v>495</v>
      </c>
      <c r="G286">
        <v>70510000</v>
      </c>
      <c r="H286" t="s">
        <v>8</v>
      </c>
      <c r="I286" t="str">
        <f t="shared" si="4"/>
        <v>70510000 Bijdragen individuele leden</v>
      </c>
      <c r="J286" t="s">
        <v>364</v>
      </c>
    </row>
    <row r="287" spans="1:10" x14ac:dyDescent="0.25">
      <c r="A287">
        <v>10</v>
      </c>
      <c r="B287">
        <v>22100065</v>
      </c>
      <c r="C287" s="94">
        <v>44649</v>
      </c>
      <c r="D287">
        <v>-79</v>
      </c>
      <c r="E287">
        <v>-79</v>
      </c>
      <c r="F287" t="s">
        <v>494</v>
      </c>
      <c r="G287">
        <v>70510000</v>
      </c>
      <c r="H287" t="s">
        <v>8</v>
      </c>
      <c r="I287" t="str">
        <f t="shared" si="4"/>
        <v>70510000 Bijdragen individuele leden</v>
      </c>
      <c r="J287" t="s">
        <v>364</v>
      </c>
    </row>
    <row r="288" spans="1:10" x14ac:dyDescent="0.25">
      <c r="A288">
        <v>10</v>
      </c>
      <c r="B288">
        <v>22100065</v>
      </c>
      <c r="C288" s="94">
        <v>44649</v>
      </c>
      <c r="D288">
        <v>-25</v>
      </c>
      <c r="E288">
        <v>-25</v>
      </c>
      <c r="F288" t="s">
        <v>491</v>
      </c>
      <c r="G288">
        <v>70510000</v>
      </c>
      <c r="H288" t="s">
        <v>8</v>
      </c>
      <c r="I288" t="str">
        <f t="shared" si="4"/>
        <v>70510000 Bijdragen individuele leden</v>
      </c>
      <c r="J288" t="s">
        <v>364</v>
      </c>
    </row>
    <row r="289" spans="1:10" x14ac:dyDescent="0.25">
      <c r="A289">
        <v>10</v>
      </c>
      <c r="B289">
        <v>22100067</v>
      </c>
      <c r="C289" s="94">
        <v>44651</v>
      </c>
      <c r="D289">
        <v>-25</v>
      </c>
      <c r="E289">
        <v>-25</v>
      </c>
      <c r="F289" t="s">
        <v>483</v>
      </c>
      <c r="G289">
        <v>70510000</v>
      </c>
      <c r="H289" t="s">
        <v>8</v>
      </c>
      <c r="I289" t="str">
        <f t="shared" si="4"/>
        <v>70510000 Bijdragen individuele leden</v>
      </c>
      <c r="J289" t="s">
        <v>364</v>
      </c>
    </row>
    <row r="290" spans="1:10" x14ac:dyDescent="0.25">
      <c r="A290">
        <v>10</v>
      </c>
      <c r="B290">
        <v>22100067</v>
      </c>
      <c r="C290" s="94">
        <v>44651</v>
      </c>
      <c r="D290">
        <v>-25</v>
      </c>
      <c r="E290">
        <v>-25</v>
      </c>
      <c r="F290" t="s">
        <v>478</v>
      </c>
      <c r="G290">
        <v>70510000</v>
      </c>
      <c r="H290" t="s">
        <v>8</v>
      </c>
      <c r="I290" t="str">
        <f t="shared" si="4"/>
        <v>70510000 Bijdragen individuele leden</v>
      </c>
      <c r="J290" t="s">
        <v>364</v>
      </c>
    </row>
    <row r="291" spans="1:10" x14ac:dyDescent="0.25">
      <c r="A291">
        <v>10</v>
      </c>
      <c r="B291">
        <v>22100067</v>
      </c>
      <c r="C291" s="94">
        <v>44651</v>
      </c>
      <c r="D291">
        <v>-79</v>
      </c>
      <c r="E291">
        <v>-79</v>
      </c>
      <c r="F291" t="s">
        <v>481</v>
      </c>
      <c r="G291">
        <v>70510000</v>
      </c>
      <c r="H291" t="s">
        <v>8</v>
      </c>
      <c r="I291" t="str">
        <f t="shared" si="4"/>
        <v>70510000 Bijdragen individuele leden</v>
      </c>
      <c r="J291" t="s">
        <v>364</v>
      </c>
    </row>
    <row r="292" spans="1:10" x14ac:dyDescent="0.25">
      <c r="A292">
        <v>10</v>
      </c>
      <c r="B292">
        <v>22100068</v>
      </c>
      <c r="C292" s="94">
        <v>44652</v>
      </c>
      <c r="D292">
        <v>-41</v>
      </c>
      <c r="E292">
        <v>-41</v>
      </c>
      <c r="F292" t="s">
        <v>474</v>
      </c>
      <c r="G292">
        <v>70510000</v>
      </c>
      <c r="H292" t="s">
        <v>8</v>
      </c>
      <c r="I292" t="str">
        <f t="shared" si="4"/>
        <v>70510000 Bijdragen individuele leden</v>
      </c>
      <c r="J292" t="s">
        <v>364</v>
      </c>
    </row>
    <row r="293" spans="1:10" x14ac:dyDescent="0.25">
      <c r="A293">
        <v>10</v>
      </c>
      <c r="B293">
        <v>22100068</v>
      </c>
      <c r="C293" s="94">
        <v>44652</v>
      </c>
      <c r="D293">
        <v>-79</v>
      </c>
      <c r="E293">
        <v>-79</v>
      </c>
      <c r="F293" t="s">
        <v>472</v>
      </c>
      <c r="G293">
        <v>70510000</v>
      </c>
      <c r="H293" t="s">
        <v>8</v>
      </c>
      <c r="I293" t="str">
        <f t="shared" si="4"/>
        <v>70510000 Bijdragen individuele leden</v>
      </c>
      <c r="J293" t="s">
        <v>364</v>
      </c>
    </row>
    <row r="294" spans="1:10" x14ac:dyDescent="0.25">
      <c r="A294">
        <v>10</v>
      </c>
      <c r="B294">
        <v>22100068</v>
      </c>
      <c r="C294" s="94">
        <v>44652</v>
      </c>
      <c r="D294">
        <v>-79</v>
      </c>
      <c r="E294">
        <v>-79</v>
      </c>
      <c r="F294" t="s">
        <v>467</v>
      </c>
      <c r="G294">
        <v>70510000</v>
      </c>
      <c r="H294" t="s">
        <v>8</v>
      </c>
      <c r="I294" t="str">
        <f t="shared" si="4"/>
        <v>70510000 Bijdragen individuele leden</v>
      </c>
      <c r="J294" t="s">
        <v>364</v>
      </c>
    </row>
    <row r="295" spans="1:10" x14ac:dyDescent="0.25">
      <c r="A295">
        <v>10</v>
      </c>
      <c r="B295">
        <v>22100069</v>
      </c>
      <c r="C295" s="94">
        <v>44655</v>
      </c>
      <c r="D295">
        <v>-79</v>
      </c>
      <c r="E295">
        <v>-79</v>
      </c>
      <c r="F295" t="s">
        <v>464</v>
      </c>
      <c r="G295">
        <v>70510000</v>
      </c>
      <c r="H295" t="s">
        <v>8</v>
      </c>
      <c r="I295" t="str">
        <f t="shared" si="4"/>
        <v>70510000 Bijdragen individuele leden</v>
      </c>
      <c r="J295" t="s">
        <v>364</v>
      </c>
    </row>
    <row r="296" spans="1:10" x14ac:dyDescent="0.25">
      <c r="A296">
        <v>10</v>
      </c>
      <c r="B296">
        <v>22100070</v>
      </c>
      <c r="C296" s="94">
        <v>44656</v>
      </c>
      <c r="D296">
        <v>-79</v>
      </c>
      <c r="E296">
        <v>-79</v>
      </c>
      <c r="F296" t="s">
        <v>457</v>
      </c>
      <c r="G296">
        <v>70510000</v>
      </c>
      <c r="H296" t="s">
        <v>8</v>
      </c>
      <c r="I296" t="str">
        <f t="shared" si="4"/>
        <v>70510000 Bijdragen individuele leden</v>
      </c>
      <c r="J296" t="s">
        <v>364</v>
      </c>
    </row>
    <row r="297" spans="1:10" x14ac:dyDescent="0.25">
      <c r="A297">
        <v>10</v>
      </c>
      <c r="B297">
        <v>22100071</v>
      </c>
      <c r="C297" s="94">
        <v>44657</v>
      </c>
      <c r="D297">
        <v>-25</v>
      </c>
      <c r="E297">
        <v>-25</v>
      </c>
      <c r="F297" t="s">
        <v>449</v>
      </c>
      <c r="G297">
        <v>70510000</v>
      </c>
      <c r="H297" t="s">
        <v>8</v>
      </c>
      <c r="I297" t="str">
        <f t="shared" si="4"/>
        <v>70510000 Bijdragen individuele leden</v>
      </c>
      <c r="J297" t="s">
        <v>364</v>
      </c>
    </row>
    <row r="298" spans="1:10" x14ac:dyDescent="0.25">
      <c r="A298">
        <v>10</v>
      </c>
      <c r="B298">
        <v>22100081</v>
      </c>
      <c r="C298" s="94">
        <v>44671</v>
      </c>
      <c r="D298">
        <v>-79</v>
      </c>
      <c r="E298">
        <v>-79</v>
      </c>
      <c r="F298" t="s">
        <v>412</v>
      </c>
      <c r="G298">
        <v>70510000</v>
      </c>
      <c r="H298" t="s">
        <v>8</v>
      </c>
      <c r="I298" t="str">
        <f t="shared" si="4"/>
        <v>70510000 Bijdragen individuele leden</v>
      </c>
      <c r="J298" t="s">
        <v>364</v>
      </c>
    </row>
    <row r="299" spans="1:10" x14ac:dyDescent="0.25">
      <c r="A299">
        <v>10</v>
      </c>
      <c r="B299">
        <v>22100081</v>
      </c>
      <c r="C299" s="94">
        <v>44671</v>
      </c>
      <c r="D299">
        <v>-79</v>
      </c>
      <c r="E299">
        <v>-79</v>
      </c>
      <c r="F299" t="s">
        <v>410</v>
      </c>
      <c r="G299">
        <v>70510000</v>
      </c>
      <c r="H299" t="s">
        <v>8</v>
      </c>
      <c r="I299" t="str">
        <f t="shared" si="4"/>
        <v>70510000 Bijdragen individuele leden</v>
      </c>
      <c r="J299" t="s">
        <v>364</v>
      </c>
    </row>
    <row r="300" spans="1:10" x14ac:dyDescent="0.25">
      <c r="A300">
        <v>10</v>
      </c>
      <c r="B300">
        <v>22100083</v>
      </c>
      <c r="C300" s="94">
        <v>44673</v>
      </c>
      <c r="D300">
        <v>-79</v>
      </c>
      <c r="E300">
        <v>-79</v>
      </c>
      <c r="F300" t="s">
        <v>406</v>
      </c>
      <c r="G300">
        <v>70510000</v>
      </c>
      <c r="H300" t="s">
        <v>8</v>
      </c>
      <c r="I300" t="str">
        <f t="shared" si="4"/>
        <v>70510000 Bijdragen individuele leden</v>
      </c>
      <c r="J300" t="s">
        <v>364</v>
      </c>
    </row>
    <row r="301" spans="1:10" x14ac:dyDescent="0.25">
      <c r="A301">
        <v>10</v>
      </c>
      <c r="B301">
        <v>22100085</v>
      </c>
      <c r="C301" s="94">
        <v>44676</v>
      </c>
      <c r="D301">
        <v>-79</v>
      </c>
      <c r="E301">
        <v>-79</v>
      </c>
      <c r="F301" t="s">
        <v>401</v>
      </c>
      <c r="G301">
        <v>70510000</v>
      </c>
      <c r="H301" t="s">
        <v>8</v>
      </c>
      <c r="I301" t="str">
        <f t="shared" si="4"/>
        <v>70510000 Bijdragen individuele leden</v>
      </c>
      <c r="J301" t="s">
        <v>364</v>
      </c>
    </row>
    <row r="302" spans="1:10" x14ac:dyDescent="0.25">
      <c r="A302">
        <v>10</v>
      </c>
      <c r="B302">
        <v>22100086</v>
      </c>
      <c r="C302" s="94">
        <v>44677</v>
      </c>
      <c r="D302">
        <v>-25</v>
      </c>
      <c r="E302">
        <v>-25</v>
      </c>
      <c r="F302" t="s">
        <v>396</v>
      </c>
      <c r="G302">
        <v>70510000</v>
      </c>
      <c r="H302" t="s">
        <v>8</v>
      </c>
      <c r="I302" t="str">
        <f t="shared" si="4"/>
        <v>70510000 Bijdragen individuele leden</v>
      </c>
      <c r="J302" t="s">
        <v>364</v>
      </c>
    </row>
    <row r="303" spans="1:10" x14ac:dyDescent="0.25">
      <c r="A303">
        <v>10</v>
      </c>
      <c r="B303">
        <v>22100088</v>
      </c>
      <c r="C303" s="94">
        <v>44679</v>
      </c>
      <c r="D303">
        <v>-79</v>
      </c>
      <c r="E303">
        <v>-79</v>
      </c>
      <c r="F303" t="s">
        <v>374</v>
      </c>
      <c r="G303">
        <v>70510000</v>
      </c>
      <c r="H303" t="s">
        <v>8</v>
      </c>
      <c r="I303" t="str">
        <f t="shared" si="4"/>
        <v>70510000 Bijdragen individuele leden</v>
      </c>
      <c r="J303" t="s">
        <v>364</v>
      </c>
    </row>
    <row r="304" spans="1:10" x14ac:dyDescent="0.25">
      <c r="A304">
        <v>10</v>
      </c>
      <c r="B304">
        <v>22100045</v>
      </c>
      <c r="C304" s="94">
        <v>44624</v>
      </c>
      <c r="D304">
        <v>-864</v>
      </c>
      <c r="E304">
        <v>-864</v>
      </c>
      <c r="F304" t="s">
        <v>586</v>
      </c>
      <c r="G304">
        <v>70512000</v>
      </c>
      <c r="H304" t="s">
        <v>392</v>
      </c>
      <c r="I304" t="str">
        <f t="shared" si="4"/>
        <v>70512000 Bijdrage bedrijfsleden</v>
      </c>
      <c r="J304" t="s">
        <v>364</v>
      </c>
    </row>
    <row r="305" spans="1:10" x14ac:dyDescent="0.25">
      <c r="A305">
        <v>10</v>
      </c>
      <c r="B305">
        <v>22100048</v>
      </c>
      <c r="C305" s="94">
        <v>44628</v>
      </c>
      <c r="D305">
        <v>-595</v>
      </c>
      <c r="E305">
        <v>-595</v>
      </c>
      <c r="F305" t="s">
        <v>576</v>
      </c>
      <c r="G305">
        <v>70512000</v>
      </c>
      <c r="H305" t="s">
        <v>392</v>
      </c>
      <c r="I305" t="str">
        <f t="shared" si="4"/>
        <v>70512000 Bijdrage bedrijfsleden</v>
      </c>
      <c r="J305" t="s">
        <v>364</v>
      </c>
    </row>
    <row r="306" spans="1:10" x14ac:dyDescent="0.25">
      <c r="A306">
        <v>10</v>
      </c>
      <c r="B306">
        <v>22100049</v>
      </c>
      <c r="C306" s="94">
        <v>44629</v>
      </c>
      <c r="D306">
        <v>-349</v>
      </c>
      <c r="E306">
        <v>-349</v>
      </c>
      <c r="F306" t="s">
        <v>571</v>
      </c>
      <c r="G306">
        <v>70512000</v>
      </c>
      <c r="H306" t="s">
        <v>392</v>
      </c>
      <c r="I306" t="str">
        <f t="shared" si="4"/>
        <v>70512000 Bijdrage bedrijfsleden</v>
      </c>
      <c r="J306" t="s">
        <v>364</v>
      </c>
    </row>
    <row r="307" spans="1:10" x14ac:dyDescent="0.25">
      <c r="A307">
        <v>10</v>
      </c>
      <c r="B307">
        <v>22100049</v>
      </c>
      <c r="C307" s="94">
        <v>44629</v>
      </c>
      <c r="D307">
        <v>-349</v>
      </c>
      <c r="E307">
        <v>-349</v>
      </c>
      <c r="F307" t="s">
        <v>567</v>
      </c>
      <c r="G307">
        <v>70512000</v>
      </c>
      <c r="H307" t="s">
        <v>392</v>
      </c>
      <c r="I307" t="str">
        <f t="shared" si="4"/>
        <v>70512000 Bijdrage bedrijfsleden</v>
      </c>
      <c r="J307" t="s">
        <v>364</v>
      </c>
    </row>
    <row r="308" spans="1:10" x14ac:dyDescent="0.25">
      <c r="A308">
        <v>10</v>
      </c>
      <c r="B308">
        <v>22100049</v>
      </c>
      <c r="C308" s="94">
        <v>44629</v>
      </c>
      <c r="D308">
        <v>-349</v>
      </c>
      <c r="E308">
        <v>-349</v>
      </c>
      <c r="F308" t="s">
        <v>568</v>
      </c>
      <c r="G308">
        <v>70512000</v>
      </c>
      <c r="H308" t="s">
        <v>392</v>
      </c>
      <c r="I308" t="str">
        <f t="shared" si="4"/>
        <v>70512000 Bijdrage bedrijfsleden</v>
      </c>
      <c r="J308" t="s">
        <v>364</v>
      </c>
    </row>
    <row r="309" spans="1:10" x14ac:dyDescent="0.25">
      <c r="A309">
        <v>10</v>
      </c>
      <c r="B309">
        <v>22100049</v>
      </c>
      <c r="C309" s="94">
        <v>44629</v>
      </c>
      <c r="D309">
        <v>-349</v>
      </c>
      <c r="E309">
        <v>-349</v>
      </c>
      <c r="F309" t="s">
        <v>566</v>
      </c>
      <c r="G309">
        <v>70512000</v>
      </c>
      <c r="H309" t="s">
        <v>392</v>
      </c>
      <c r="I309" t="str">
        <f t="shared" si="4"/>
        <v>70512000 Bijdrage bedrijfsleden</v>
      </c>
      <c r="J309" t="s">
        <v>364</v>
      </c>
    </row>
    <row r="310" spans="1:10" x14ac:dyDescent="0.25">
      <c r="A310">
        <v>10</v>
      </c>
      <c r="B310">
        <v>22100050</v>
      </c>
      <c r="C310" s="94">
        <v>44630</v>
      </c>
      <c r="D310">
        <v>-349</v>
      </c>
      <c r="E310">
        <v>-349</v>
      </c>
      <c r="F310" t="s">
        <v>563</v>
      </c>
      <c r="G310">
        <v>70512000</v>
      </c>
      <c r="H310" t="s">
        <v>392</v>
      </c>
      <c r="I310" t="str">
        <f t="shared" si="4"/>
        <v>70512000 Bijdrage bedrijfsleden</v>
      </c>
      <c r="J310" t="s">
        <v>364</v>
      </c>
    </row>
    <row r="311" spans="1:10" x14ac:dyDescent="0.25">
      <c r="A311">
        <v>10</v>
      </c>
      <c r="B311">
        <v>22100050</v>
      </c>
      <c r="C311" s="94">
        <v>44630</v>
      </c>
      <c r="D311">
        <v>-864</v>
      </c>
      <c r="E311">
        <v>-864</v>
      </c>
      <c r="F311" t="s">
        <v>559</v>
      </c>
      <c r="G311">
        <v>70512000</v>
      </c>
      <c r="H311" t="s">
        <v>392</v>
      </c>
      <c r="I311" t="str">
        <f t="shared" si="4"/>
        <v>70512000 Bijdrage bedrijfsleden</v>
      </c>
      <c r="J311" t="s">
        <v>364</v>
      </c>
    </row>
    <row r="312" spans="1:10" x14ac:dyDescent="0.25">
      <c r="A312">
        <v>10</v>
      </c>
      <c r="B312">
        <v>22100050</v>
      </c>
      <c r="C312" s="94">
        <v>44630</v>
      </c>
      <c r="D312">
        <v>-349</v>
      </c>
      <c r="E312">
        <v>-349</v>
      </c>
      <c r="F312" t="s">
        <v>561</v>
      </c>
      <c r="G312">
        <v>70512000</v>
      </c>
      <c r="H312" t="s">
        <v>392</v>
      </c>
      <c r="I312" t="str">
        <f t="shared" si="4"/>
        <v>70512000 Bijdrage bedrijfsleden</v>
      </c>
      <c r="J312" t="s">
        <v>364</v>
      </c>
    </row>
    <row r="313" spans="1:10" x14ac:dyDescent="0.25">
      <c r="A313">
        <v>10</v>
      </c>
      <c r="B313">
        <v>22100050</v>
      </c>
      <c r="C313" s="94">
        <v>44630</v>
      </c>
      <c r="D313">
        <v>-864</v>
      </c>
      <c r="E313">
        <v>-864</v>
      </c>
      <c r="F313" t="s">
        <v>557</v>
      </c>
      <c r="G313">
        <v>70512000</v>
      </c>
      <c r="H313" t="s">
        <v>392</v>
      </c>
      <c r="I313" t="str">
        <f t="shared" si="4"/>
        <v>70512000 Bijdrage bedrijfsleden</v>
      </c>
      <c r="J313" t="s">
        <v>364</v>
      </c>
    </row>
    <row r="314" spans="1:10" x14ac:dyDescent="0.25">
      <c r="A314">
        <v>10</v>
      </c>
      <c r="B314">
        <v>22100051</v>
      </c>
      <c r="C314" s="94">
        <v>44631</v>
      </c>
      <c r="D314">
        <v>-864</v>
      </c>
      <c r="E314">
        <v>-864</v>
      </c>
      <c r="F314" t="s">
        <v>555</v>
      </c>
      <c r="G314">
        <v>70512000</v>
      </c>
      <c r="H314" t="s">
        <v>392</v>
      </c>
      <c r="I314" t="str">
        <f t="shared" si="4"/>
        <v>70512000 Bijdrage bedrijfsleden</v>
      </c>
      <c r="J314" t="s">
        <v>364</v>
      </c>
    </row>
    <row r="315" spans="1:10" x14ac:dyDescent="0.25">
      <c r="A315">
        <v>10</v>
      </c>
      <c r="B315">
        <v>22100051</v>
      </c>
      <c r="C315" s="94">
        <v>44631</v>
      </c>
      <c r="D315">
        <v>-349</v>
      </c>
      <c r="E315">
        <v>-349</v>
      </c>
      <c r="F315" t="s">
        <v>551</v>
      </c>
      <c r="G315">
        <v>70512000</v>
      </c>
      <c r="H315" t="s">
        <v>392</v>
      </c>
      <c r="I315" t="str">
        <f t="shared" si="4"/>
        <v>70512000 Bijdrage bedrijfsleden</v>
      </c>
      <c r="J315" t="s">
        <v>364</v>
      </c>
    </row>
    <row r="316" spans="1:10" x14ac:dyDescent="0.25">
      <c r="A316">
        <v>10</v>
      </c>
      <c r="B316">
        <v>22100051</v>
      </c>
      <c r="C316" s="94">
        <v>44631</v>
      </c>
      <c r="D316">
        <v>-349</v>
      </c>
      <c r="E316">
        <v>-349</v>
      </c>
      <c r="F316" t="s">
        <v>554</v>
      </c>
      <c r="G316">
        <v>70512000</v>
      </c>
      <c r="H316" t="s">
        <v>392</v>
      </c>
      <c r="I316" t="str">
        <f t="shared" si="4"/>
        <v>70512000 Bijdrage bedrijfsleden</v>
      </c>
      <c r="J316" t="s">
        <v>364</v>
      </c>
    </row>
    <row r="317" spans="1:10" x14ac:dyDescent="0.25">
      <c r="A317">
        <v>10</v>
      </c>
      <c r="B317">
        <v>22100051</v>
      </c>
      <c r="C317" s="94">
        <v>44631</v>
      </c>
      <c r="D317">
        <v>-349</v>
      </c>
      <c r="E317">
        <v>-349</v>
      </c>
      <c r="F317" t="s">
        <v>552</v>
      </c>
      <c r="G317">
        <v>70512000</v>
      </c>
      <c r="H317" t="s">
        <v>392</v>
      </c>
      <c r="I317" t="str">
        <f t="shared" si="4"/>
        <v>70512000 Bijdrage bedrijfsleden</v>
      </c>
      <c r="J317" t="s">
        <v>364</v>
      </c>
    </row>
    <row r="318" spans="1:10" x14ac:dyDescent="0.25">
      <c r="A318">
        <v>10</v>
      </c>
      <c r="B318">
        <v>22100053</v>
      </c>
      <c r="C318" s="94">
        <v>44635</v>
      </c>
      <c r="D318">
        <v>-649</v>
      </c>
      <c r="E318">
        <v>-649</v>
      </c>
      <c r="F318" t="s">
        <v>543</v>
      </c>
      <c r="G318">
        <v>70512000</v>
      </c>
      <c r="H318" t="s">
        <v>392</v>
      </c>
      <c r="I318" t="str">
        <f t="shared" si="4"/>
        <v>70512000 Bijdrage bedrijfsleden</v>
      </c>
      <c r="J318" t="s">
        <v>364</v>
      </c>
    </row>
    <row r="319" spans="1:10" x14ac:dyDescent="0.25">
      <c r="A319">
        <v>10</v>
      </c>
      <c r="B319">
        <v>22100053</v>
      </c>
      <c r="C319" s="94">
        <v>44635</v>
      </c>
      <c r="D319">
        <v>-349</v>
      </c>
      <c r="E319">
        <v>-349</v>
      </c>
      <c r="F319" t="s">
        <v>539</v>
      </c>
      <c r="G319">
        <v>70512000</v>
      </c>
      <c r="H319" t="s">
        <v>392</v>
      </c>
      <c r="I319" t="str">
        <f t="shared" si="4"/>
        <v>70512000 Bijdrage bedrijfsleden</v>
      </c>
      <c r="J319" t="s">
        <v>364</v>
      </c>
    </row>
    <row r="320" spans="1:10" x14ac:dyDescent="0.25">
      <c r="A320">
        <v>10</v>
      </c>
      <c r="B320">
        <v>22100053</v>
      </c>
      <c r="C320" s="94">
        <v>44635</v>
      </c>
      <c r="D320">
        <v>-421</v>
      </c>
      <c r="E320">
        <v>-421</v>
      </c>
      <c r="F320" t="s">
        <v>544</v>
      </c>
      <c r="G320">
        <v>70512000</v>
      </c>
      <c r="H320" t="s">
        <v>392</v>
      </c>
      <c r="I320" t="str">
        <f t="shared" si="4"/>
        <v>70512000 Bijdrage bedrijfsleden</v>
      </c>
      <c r="J320" t="s">
        <v>364</v>
      </c>
    </row>
    <row r="321" spans="1:10" x14ac:dyDescent="0.25">
      <c r="A321">
        <v>10</v>
      </c>
      <c r="B321">
        <v>22100053</v>
      </c>
      <c r="C321" s="94">
        <v>44635</v>
      </c>
      <c r="D321">
        <v>-864</v>
      </c>
      <c r="E321">
        <v>-864</v>
      </c>
      <c r="F321" t="s">
        <v>537</v>
      </c>
      <c r="G321">
        <v>70512000</v>
      </c>
      <c r="H321" t="s">
        <v>392</v>
      </c>
      <c r="I321" t="str">
        <f t="shared" si="4"/>
        <v>70512000 Bijdrage bedrijfsleden</v>
      </c>
      <c r="J321" t="s">
        <v>364</v>
      </c>
    </row>
    <row r="322" spans="1:10" x14ac:dyDescent="0.25">
      <c r="A322">
        <v>10</v>
      </c>
      <c r="B322">
        <v>22100053</v>
      </c>
      <c r="C322" s="94">
        <v>44635</v>
      </c>
      <c r="D322">
        <v>-349</v>
      </c>
      <c r="E322">
        <v>-349</v>
      </c>
      <c r="F322" t="s">
        <v>542</v>
      </c>
      <c r="G322">
        <v>70512000</v>
      </c>
      <c r="H322" t="s">
        <v>392</v>
      </c>
      <c r="I322" t="str">
        <f t="shared" ref="I322:I385" si="5">CONCATENATE(G322," ",H322)</f>
        <v>70512000 Bijdrage bedrijfsleden</v>
      </c>
      <c r="J322" t="s">
        <v>364</v>
      </c>
    </row>
    <row r="323" spans="1:10" x14ac:dyDescent="0.25">
      <c r="A323">
        <v>10</v>
      </c>
      <c r="B323">
        <v>22100054</v>
      </c>
      <c r="C323" s="94">
        <v>44636</v>
      </c>
      <c r="D323">
        <v>-373</v>
      </c>
      <c r="E323">
        <v>-373</v>
      </c>
      <c r="F323" t="s">
        <v>535</v>
      </c>
      <c r="G323">
        <v>70512000</v>
      </c>
      <c r="H323" t="s">
        <v>392</v>
      </c>
      <c r="I323" t="str">
        <f t="shared" si="5"/>
        <v>70512000 Bijdrage bedrijfsleden</v>
      </c>
      <c r="J323" t="s">
        <v>364</v>
      </c>
    </row>
    <row r="324" spans="1:10" x14ac:dyDescent="0.25">
      <c r="A324">
        <v>10</v>
      </c>
      <c r="B324">
        <v>22100054</v>
      </c>
      <c r="C324" s="94">
        <v>44636</v>
      </c>
      <c r="D324">
        <v>-349</v>
      </c>
      <c r="E324">
        <v>-349</v>
      </c>
      <c r="F324" t="s">
        <v>533</v>
      </c>
      <c r="G324">
        <v>70512000</v>
      </c>
      <c r="H324" t="s">
        <v>392</v>
      </c>
      <c r="I324" t="str">
        <f t="shared" si="5"/>
        <v>70512000 Bijdrage bedrijfsleden</v>
      </c>
      <c r="J324" t="s">
        <v>364</v>
      </c>
    </row>
    <row r="325" spans="1:10" x14ac:dyDescent="0.25">
      <c r="A325">
        <v>10</v>
      </c>
      <c r="B325">
        <v>22100055</v>
      </c>
      <c r="C325" s="94">
        <v>44637</v>
      </c>
      <c r="D325">
        <v>-349</v>
      </c>
      <c r="E325">
        <v>-349</v>
      </c>
      <c r="F325" t="s">
        <v>530</v>
      </c>
      <c r="G325">
        <v>70512000</v>
      </c>
      <c r="H325" t="s">
        <v>392</v>
      </c>
      <c r="I325" t="str">
        <f t="shared" si="5"/>
        <v>70512000 Bijdrage bedrijfsleden</v>
      </c>
      <c r="J325" t="s">
        <v>364</v>
      </c>
    </row>
    <row r="326" spans="1:10" x14ac:dyDescent="0.25">
      <c r="A326">
        <v>10</v>
      </c>
      <c r="B326">
        <v>22100056</v>
      </c>
      <c r="C326" s="94">
        <v>44638</v>
      </c>
      <c r="D326">
        <v>-557</v>
      </c>
      <c r="E326">
        <v>-557</v>
      </c>
      <c r="F326" t="s">
        <v>528</v>
      </c>
      <c r="G326">
        <v>70512000</v>
      </c>
      <c r="H326" t="s">
        <v>392</v>
      </c>
      <c r="I326" t="str">
        <f t="shared" si="5"/>
        <v>70512000 Bijdrage bedrijfsleden</v>
      </c>
      <c r="J326" t="s">
        <v>364</v>
      </c>
    </row>
    <row r="327" spans="1:10" x14ac:dyDescent="0.25">
      <c r="A327">
        <v>10</v>
      </c>
      <c r="B327">
        <v>22100056</v>
      </c>
      <c r="C327" s="94">
        <v>44638</v>
      </c>
      <c r="D327">
        <v>-349</v>
      </c>
      <c r="E327">
        <v>-349</v>
      </c>
      <c r="F327" t="s">
        <v>527</v>
      </c>
      <c r="G327">
        <v>70512000</v>
      </c>
      <c r="H327" t="s">
        <v>392</v>
      </c>
      <c r="I327" t="str">
        <f t="shared" si="5"/>
        <v>70512000 Bijdrage bedrijfsleden</v>
      </c>
      <c r="J327" t="s">
        <v>364</v>
      </c>
    </row>
    <row r="328" spans="1:10" x14ac:dyDescent="0.25">
      <c r="A328">
        <v>10</v>
      </c>
      <c r="B328">
        <v>22100057</v>
      </c>
      <c r="C328" s="94">
        <v>44639</v>
      </c>
      <c r="D328">
        <v>-349</v>
      </c>
      <c r="E328">
        <v>-349</v>
      </c>
      <c r="F328" t="s">
        <v>524</v>
      </c>
      <c r="G328">
        <v>70512000</v>
      </c>
      <c r="H328" t="s">
        <v>392</v>
      </c>
      <c r="I328" t="str">
        <f t="shared" si="5"/>
        <v>70512000 Bijdrage bedrijfsleden</v>
      </c>
      <c r="J328" t="s">
        <v>364</v>
      </c>
    </row>
    <row r="329" spans="1:10" x14ac:dyDescent="0.25">
      <c r="A329">
        <v>10</v>
      </c>
      <c r="B329">
        <v>22100059</v>
      </c>
      <c r="C329" s="94">
        <v>44641</v>
      </c>
      <c r="D329">
        <v>-349</v>
      </c>
      <c r="E329">
        <v>-349</v>
      </c>
      <c r="F329" t="s">
        <v>520</v>
      </c>
      <c r="G329">
        <v>70512000</v>
      </c>
      <c r="H329" t="s">
        <v>392</v>
      </c>
      <c r="I329" t="str">
        <f t="shared" si="5"/>
        <v>70512000 Bijdrage bedrijfsleden</v>
      </c>
      <c r="J329" t="s">
        <v>364</v>
      </c>
    </row>
    <row r="330" spans="1:10" x14ac:dyDescent="0.25">
      <c r="A330">
        <v>10</v>
      </c>
      <c r="B330">
        <v>22100060</v>
      </c>
      <c r="C330" s="94">
        <v>44642</v>
      </c>
      <c r="D330">
        <v>-864</v>
      </c>
      <c r="E330">
        <v>-864</v>
      </c>
      <c r="F330" t="s">
        <v>518</v>
      </c>
      <c r="G330">
        <v>70512000</v>
      </c>
      <c r="H330" t="s">
        <v>392</v>
      </c>
      <c r="I330" t="str">
        <f t="shared" si="5"/>
        <v>70512000 Bijdrage bedrijfsleden</v>
      </c>
      <c r="J330" t="s">
        <v>364</v>
      </c>
    </row>
    <row r="331" spans="1:10" x14ac:dyDescent="0.25">
      <c r="A331">
        <v>10</v>
      </c>
      <c r="B331">
        <v>22100060</v>
      </c>
      <c r="C331" s="94">
        <v>44642</v>
      </c>
      <c r="D331">
        <v>-864</v>
      </c>
      <c r="E331">
        <v>-864</v>
      </c>
      <c r="F331" t="s">
        <v>287</v>
      </c>
      <c r="G331">
        <v>70512000</v>
      </c>
      <c r="H331" t="s">
        <v>392</v>
      </c>
      <c r="I331" t="str">
        <f t="shared" si="5"/>
        <v>70512000 Bijdrage bedrijfsleden</v>
      </c>
      <c r="J331" t="s">
        <v>364</v>
      </c>
    </row>
    <row r="332" spans="1:10" x14ac:dyDescent="0.25">
      <c r="A332">
        <v>10</v>
      </c>
      <c r="B332">
        <v>22100060</v>
      </c>
      <c r="C332" s="94">
        <v>44642</v>
      </c>
      <c r="D332">
        <v>-320</v>
      </c>
      <c r="E332">
        <v>-320</v>
      </c>
      <c r="F332" t="s">
        <v>517</v>
      </c>
      <c r="G332">
        <v>70512000</v>
      </c>
      <c r="H332" t="s">
        <v>392</v>
      </c>
      <c r="I332" t="str">
        <f t="shared" si="5"/>
        <v>70512000 Bijdrage bedrijfsleden</v>
      </c>
      <c r="J332" t="s">
        <v>364</v>
      </c>
    </row>
    <row r="333" spans="1:10" x14ac:dyDescent="0.25">
      <c r="A333">
        <v>10</v>
      </c>
      <c r="B333">
        <v>22100061</v>
      </c>
      <c r="C333" s="94">
        <v>44643</v>
      </c>
      <c r="D333">
        <v>-864</v>
      </c>
      <c r="E333">
        <v>-864</v>
      </c>
      <c r="F333" t="s">
        <v>514</v>
      </c>
      <c r="G333">
        <v>70512000</v>
      </c>
      <c r="H333" t="s">
        <v>392</v>
      </c>
      <c r="I333" t="str">
        <f t="shared" si="5"/>
        <v>70512000 Bijdrage bedrijfsleden</v>
      </c>
      <c r="J333" t="s">
        <v>364</v>
      </c>
    </row>
    <row r="334" spans="1:10" x14ac:dyDescent="0.25">
      <c r="A334">
        <v>10</v>
      </c>
      <c r="B334">
        <v>22100061</v>
      </c>
      <c r="C334" s="94">
        <v>44643</v>
      </c>
      <c r="D334">
        <v>-400</v>
      </c>
      <c r="E334">
        <v>-400</v>
      </c>
      <c r="F334" t="s">
        <v>510</v>
      </c>
      <c r="G334">
        <v>70512000</v>
      </c>
      <c r="H334" t="s">
        <v>392</v>
      </c>
      <c r="I334" t="str">
        <f t="shared" si="5"/>
        <v>70512000 Bijdrage bedrijfsleden</v>
      </c>
      <c r="J334" t="s">
        <v>364</v>
      </c>
    </row>
    <row r="335" spans="1:10" x14ac:dyDescent="0.25">
      <c r="A335">
        <v>10</v>
      </c>
      <c r="B335">
        <v>22100063</v>
      </c>
      <c r="C335" s="94">
        <v>44645</v>
      </c>
      <c r="D335">
        <v>-349</v>
      </c>
      <c r="E335">
        <v>-349</v>
      </c>
      <c r="F335" t="s">
        <v>499</v>
      </c>
      <c r="G335">
        <v>70512000</v>
      </c>
      <c r="H335" t="s">
        <v>392</v>
      </c>
      <c r="I335" t="str">
        <f t="shared" si="5"/>
        <v>70512000 Bijdrage bedrijfsleden</v>
      </c>
      <c r="J335" t="s">
        <v>364</v>
      </c>
    </row>
    <row r="336" spans="1:10" x14ac:dyDescent="0.25">
      <c r="A336">
        <v>10</v>
      </c>
      <c r="B336">
        <v>22100063</v>
      </c>
      <c r="C336" s="94">
        <v>44645</v>
      </c>
      <c r="D336">
        <v>-349</v>
      </c>
      <c r="E336">
        <v>-349</v>
      </c>
      <c r="F336" t="s">
        <v>504</v>
      </c>
      <c r="G336">
        <v>70512000</v>
      </c>
      <c r="H336" t="s">
        <v>392</v>
      </c>
      <c r="I336" t="str">
        <f t="shared" si="5"/>
        <v>70512000 Bijdrage bedrijfsleden</v>
      </c>
      <c r="J336" t="s">
        <v>364</v>
      </c>
    </row>
    <row r="337" spans="1:10" x14ac:dyDescent="0.25">
      <c r="A337">
        <v>10</v>
      </c>
      <c r="B337">
        <v>22100063</v>
      </c>
      <c r="C337" s="94">
        <v>44645</v>
      </c>
      <c r="D337">
        <v>-864</v>
      </c>
      <c r="E337">
        <v>-864</v>
      </c>
      <c r="F337" t="s">
        <v>502</v>
      </c>
      <c r="G337">
        <v>70512000</v>
      </c>
      <c r="H337" t="s">
        <v>392</v>
      </c>
      <c r="I337" t="str">
        <f t="shared" si="5"/>
        <v>70512000 Bijdrage bedrijfsleden</v>
      </c>
      <c r="J337" t="s">
        <v>364</v>
      </c>
    </row>
    <row r="338" spans="1:10" x14ac:dyDescent="0.25">
      <c r="A338">
        <v>10</v>
      </c>
      <c r="B338">
        <v>22100064</v>
      </c>
      <c r="C338" s="94">
        <v>44648</v>
      </c>
      <c r="D338">
        <v>-485</v>
      </c>
      <c r="E338">
        <v>-485</v>
      </c>
      <c r="F338" t="s">
        <v>498</v>
      </c>
      <c r="G338">
        <v>70512000</v>
      </c>
      <c r="H338" t="s">
        <v>392</v>
      </c>
      <c r="I338" t="str">
        <f t="shared" si="5"/>
        <v>70512000 Bijdrage bedrijfsleden</v>
      </c>
      <c r="J338" t="s">
        <v>364</v>
      </c>
    </row>
    <row r="339" spans="1:10" x14ac:dyDescent="0.25">
      <c r="A339">
        <v>10</v>
      </c>
      <c r="B339">
        <v>22100064</v>
      </c>
      <c r="C339" s="94">
        <v>44648</v>
      </c>
      <c r="D339">
        <v>-349</v>
      </c>
      <c r="E339">
        <v>-349</v>
      </c>
      <c r="F339" t="s">
        <v>496</v>
      </c>
      <c r="G339">
        <v>70512000</v>
      </c>
      <c r="H339" t="s">
        <v>392</v>
      </c>
      <c r="I339" t="str">
        <f t="shared" si="5"/>
        <v>70512000 Bijdrage bedrijfsleden</v>
      </c>
      <c r="J339" t="s">
        <v>364</v>
      </c>
    </row>
    <row r="340" spans="1:10" x14ac:dyDescent="0.25">
      <c r="A340">
        <v>10</v>
      </c>
      <c r="B340">
        <v>22100065</v>
      </c>
      <c r="C340" s="94">
        <v>44649</v>
      </c>
      <c r="D340">
        <v>-349</v>
      </c>
      <c r="E340">
        <v>-349</v>
      </c>
      <c r="F340" t="s">
        <v>490</v>
      </c>
      <c r="G340">
        <v>70512000</v>
      </c>
      <c r="H340" t="s">
        <v>392</v>
      </c>
      <c r="I340" t="str">
        <f t="shared" si="5"/>
        <v>70512000 Bijdrage bedrijfsleden</v>
      </c>
      <c r="J340" t="s">
        <v>364</v>
      </c>
    </row>
    <row r="341" spans="1:10" x14ac:dyDescent="0.25">
      <c r="A341">
        <v>10</v>
      </c>
      <c r="B341">
        <v>22100065</v>
      </c>
      <c r="C341" s="94">
        <v>44649</v>
      </c>
      <c r="D341">
        <v>-541</v>
      </c>
      <c r="E341">
        <v>-541</v>
      </c>
      <c r="F341" t="s">
        <v>492</v>
      </c>
      <c r="G341">
        <v>70512000</v>
      </c>
      <c r="H341" t="s">
        <v>392</v>
      </c>
      <c r="I341" t="str">
        <f t="shared" si="5"/>
        <v>70512000 Bijdrage bedrijfsleden</v>
      </c>
      <c r="J341" t="s">
        <v>364</v>
      </c>
    </row>
    <row r="342" spans="1:10" x14ac:dyDescent="0.25">
      <c r="A342">
        <v>10</v>
      </c>
      <c r="B342">
        <v>22100066</v>
      </c>
      <c r="C342" s="94">
        <v>44650</v>
      </c>
      <c r="D342">
        <v>-864</v>
      </c>
      <c r="E342">
        <v>-864</v>
      </c>
      <c r="F342" t="s">
        <v>486</v>
      </c>
      <c r="G342">
        <v>70512000</v>
      </c>
      <c r="H342" t="s">
        <v>392</v>
      </c>
      <c r="I342" t="str">
        <f t="shared" si="5"/>
        <v>70512000 Bijdrage bedrijfsleden</v>
      </c>
      <c r="J342" t="s">
        <v>364</v>
      </c>
    </row>
    <row r="343" spans="1:10" x14ac:dyDescent="0.25">
      <c r="A343">
        <v>10</v>
      </c>
      <c r="B343">
        <v>22100066</v>
      </c>
      <c r="C343" s="94">
        <v>44650</v>
      </c>
      <c r="D343">
        <v>-349</v>
      </c>
      <c r="E343">
        <v>-349</v>
      </c>
      <c r="F343" t="s">
        <v>484</v>
      </c>
      <c r="G343">
        <v>70512000</v>
      </c>
      <c r="H343" t="s">
        <v>392</v>
      </c>
      <c r="I343" t="str">
        <f t="shared" si="5"/>
        <v>70512000 Bijdrage bedrijfsleden</v>
      </c>
      <c r="J343" t="s">
        <v>364</v>
      </c>
    </row>
    <row r="344" spans="1:10" x14ac:dyDescent="0.25">
      <c r="A344">
        <v>10</v>
      </c>
      <c r="B344">
        <v>22100067</v>
      </c>
      <c r="C344" s="94">
        <v>44651</v>
      </c>
      <c r="D344">
        <v>-349</v>
      </c>
      <c r="E344">
        <v>-349</v>
      </c>
      <c r="F344" t="s">
        <v>479</v>
      </c>
      <c r="G344">
        <v>70512000</v>
      </c>
      <c r="H344" t="s">
        <v>392</v>
      </c>
      <c r="I344" t="str">
        <f t="shared" si="5"/>
        <v>70512000 Bijdrage bedrijfsleden</v>
      </c>
      <c r="J344" t="s">
        <v>364</v>
      </c>
    </row>
    <row r="345" spans="1:10" x14ac:dyDescent="0.25">
      <c r="A345">
        <v>10</v>
      </c>
      <c r="B345">
        <v>22100069</v>
      </c>
      <c r="C345" s="94">
        <v>44655</v>
      </c>
      <c r="D345">
        <v>-864</v>
      </c>
      <c r="E345">
        <v>-864</v>
      </c>
      <c r="F345" t="s">
        <v>463</v>
      </c>
      <c r="G345">
        <v>70512000</v>
      </c>
      <c r="H345" t="s">
        <v>392</v>
      </c>
      <c r="I345" t="str">
        <f t="shared" si="5"/>
        <v>70512000 Bijdrage bedrijfsleden</v>
      </c>
      <c r="J345" t="s">
        <v>364</v>
      </c>
    </row>
    <row r="346" spans="1:10" x14ac:dyDescent="0.25">
      <c r="A346">
        <v>10</v>
      </c>
      <c r="B346">
        <v>22100069</v>
      </c>
      <c r="C346" s="94">
        <v>44655</v>
      </c>
      <c r="D346">
        <v>-474</v>
      </c>
      <c r="E346">
        <v>-474</v>
      </c>
      <c r="F346" t="s">
        <v>462</v>
      </c>
      <c r="G346">
        <v>70512000</v>
      </c>
      <c r="H346" t="s">
        <v>392</v>
      </c>
      <c r="I346" t="str">
        <f t="shared" si="5"/>
        <v>70512000 Bijdrage bedrijfsleden</v>
      </c>
      <c r="J346" t="s">
        <v>364</v>
      </c>
    </row>
    <row r="347" spans="1:10" x14ac:dyDescent="0.25">
      <c r="A347">
        <v>10</v>
      </c>
      <c r="B347">
        <v>22100070</v>
      </c>
      <c r="C347" s="94">
        <v>44656</v>
      </c>
      <c r="D347">
        <v>-864</v>
      </c>
      <c r="E347">
        <v>-864</v>
      </c>
      <c r="F347" t="s">
        <v>455</v>
      </c>
      <c r="G347">
        <v>70512000</v>
      </c>
      <c r="H347" t="s">
        <v>392</v>
      </c>
      <c r="I347" t="str">
        <f t="shared" si="5"/>
        <v>70512000 Bijdrage bedrijfsleden</v>
      </c>
      <c r="J347" t="s">
        <v>364</v>
      </c>
    </row>
    <row r="348" spans="1:10" x14ac:dyDescent="0.25">
      <c r="A348">
        <v>10</v>
      </c>
      <c r="B348">
        <v>22100070</v>
      </c>
      <c r="C348" s="94">
        <v>44656</v>
      </c>
      <c r="D348">
        <v>-607</v>
      </c>
      <c r="E348">
        <v>-607</v>
      </c>
      <c r="F348" t="s">
        <v>458</v>
      </c>
      <c r="G348">
        <v>70512000</v>
      </c>
      <c r="H348" t="s">
        <v>392</v>
      </c>
      <c r="I348" t="str">
        <f t="shared" si="5"/>
        <v>70512000 Bijdrage bedrijfsleden</v>
      </c>
      <c r="J348" t="s">
        <v>364</v>
      </c>
    </row>
    <row r="349" spans="1:10" x14ac:dyDescent="0.25">
      <c r="A349">
        <v>10</v>
      </c>
      <c r="B349">
        <v>22100070</v>
      </c>
      <c r="C349" s="94">
        <v>44656</v>
      </c>
      <c r="D349">
        <v>-349</v>
      </c>
      <c r="E349">
        <v>-349</v>
      </c>
      <c r="F349" t="s">
        <v>456</v>
      </c>
      <c r="G349">
        <v>70512000</v>
      </c>
      <c r="H349" t="s">
        <v>392</v>
      </c>
      <c r="I349" t="str">
        <f t="shared" si="5"/>
        <v>70512000 Bijdrage bedrijfsleden</v>
      </c>
      <c r="J349" t="s">
        <v>364</v>
      </c>
    </row>
    <row r="350" spans="1:10" x14ac:dyDescent="0.25">
      <c r="A350">
        <v>10</v>
      </c>
      <c r="B350">
        <v>22100070</v>
      </c>
      <c r="C350" s="94">
        <v>44656</v>
      </c>
      <c r="D350">
        <v>-349</v>
      </c>
      <c r="E350">
        <v>-349</v>
      </c>
      <c r="F350" t="s">
        <v>454</v>
      </c>
      <c r="G350">
        <v>70512000</v>
      </c>
      <c r="H350" t="s">
        <v>392</v>
      </c>
      <c r="I350" t="str">
        <f t="shared" si="5"/>
        <v>70512000 Bijdrage bedrijfsleden</v>
      </c>
      <c r="J350" t="s">
        <v>364</v>
      </c>
    </row>
    <row r="351" spans="1:10" x14ac:dyDescent="0.25">
      <c r="A351">
        <v>10</v>
      </c>
      <c r="B351">
        <v>22100070</v>
      </c>
      <c r="C351" s="94">
        <v>44656</v>
      </c>
      <c r="D351">
        <v>-349</v>
      </c>
      <c r="E351">
        <v>-349</v>
      </c>
      <c r="F351" t="s">
        <v>452</v>
      </c>
      <c r="G351">
        <v>70512000</v>
      </c>
      <c r="H351" t="s">
        <v>392</v>
      </c>
      <c r="I351" t="str">
        <f t="shared" si="5"/>
        <v>70512000 Bijdrage bedrijfsleden</v>
      </c>
      <c r="J351" t="s">
        <v>364</v>
      </c>
    </row>
    <row r="352" spans="1:10" x14ac:dyDescent="0.25">
      <c r="A352">
        <v>10</v>
      </c>
      <c r="B352">
        <v>22100071</v>
      </c>
      <c r="C352" s="94">
        <v>44657</v>
      </c>
      <c r="D352">
        <v>-349</v>
      </c>
      <c r="E352">
        <v>-349</v>
      </c>
      <c r="F352" t="s">
        <v>447</v>
      </c>
      <c r="G352">
        <v>70512000</v>
      </c>
      <c r="H352" t="s">
        <v>392</v>
      </c>
      <c r="I352" t="str">
        <f t="shared" si="5"/>
        <v>70512000 Bijdrage bedrijfsleden</v>
      </c>
      <c r="J352" t="s">
        <v>364</v>
      </c>
    </row>
    <row r="353" spans="1:10" x14ac:dyDescent="0.25">
      <c r="A353">
        <v>10</v>
      </c>
      <c r="B353">
        <v>22100071</v>
      </c>
      <c r="C353" s="94">
        <v>44657</v>
      </c>
      <c r="D353">
        <v>-349</v>
      </c>
      <c r="E353">
        <v>-349</v>
      </c>
      <c r="F353" t="s">
        <v>446</v>
      </c>
      <c r="G353">
        <v>70512000</v>
      </c>
      <c r="H353" t="s">
        <v>392</v>
      </c>
      <c r="I353" t="str">
        <f t="shared" si="5"/>
        <v>70512000 Bijdrage bedrijfsleden</v>
      </c>
      <c r="J353" t="s">
        <v>364</v>
      </c>
    </row>
    <row r="354" spans="1:10" x14ac:dyDescent="0.25">
      <c r="A354">
        <v>10</v>
      </c>
      <c r="B354">
        <v>22100072</v>
      </c>
      <c r="C354" s="94">
        <v>44658</v>
      </c>
      <c r="D354">
        <v>-864</v>
      </c>
      <c r="E354">
        <v>-864</v>
      </c>
      <c r="F354" t="s">
        <v>444</v>
      </c>
      <c r="G354">
        <v>70512000</v>
      </c>
      <c r="H354" t="s">
        <v>392</v>
      </c>
      <c r="I354" t="str">
        <f t="shared" si="5"/>
        <v>70512000 Bijdrage bedrijfsleden</v>
      </c>
      <c r="J354" t="s">
        <v>364</v>
      </c>
    </row>
    <row r="355" spans="1:10" x14ac:dyDescent="0.25">
      <c r="A355">
        <v>10</v>
      </c>
      <c r="B355">
        <v>22100073</v>
      </c>
      <c r="C355" s="94">
        <v>44659</v>
      </c>
      <c r="D355">
        <v>-349</v>
      </c>
      <c r="E355">
        <v>-349</v>
      </c>
      <c r="F355" t="s">
        <v>441</v>
      </c>
      <c r="G355">
        <v>70512000</v>
      </c>
      <c r="H355" t="s">
        <v>392</v>
      </c>
      <c r="I355" t="str">
        <f t="shared" si="5"/>
        <v>70512000 Bijdrage bedrijfsleden</v>
      </c>
      <c r="J355" t="s">
        <v>364</v>
      </c>
    </row>
    <row r="356" spans="1:10" x14ac:dyDescent="0.25">
      <c r="A356">
        <v>10</v>
      </c>
      <c r="B356">
        <v>22100073</v>
      </c>
      <c r="C356" s="94">
        <v>44659</v>
      </c>
      <c r="D356">
        <v>-291</v>
      </c>
      <c r="E356">
        <v>-291</v>
      </c>
      <c r="F356" t="s">
        <v>440</v>
      </c>
      <c r="G356">
        <v>70512000</v>
      </c>
      <c r="H356" t="s">
        <v>392</v>
      </c>
      <c r="I356" t="str">
        <f t="shared" si="5"/>
        <v>70512000 Bijdrage bedrijfsleden</v>
      </c>
      <c r="J356" t="s">
        <v>364</v>
      </c>
    </row>
    <row r="357" spans="1:10" x14ac:dyDescent="0.25">
      <c r="A357">
        <v>10</v>
      </c>
      <c r="B357">
        <v>22100073</v>
      </c>
      <c r="C357" s="94">
        <v>44659</v>
      </c>
      <c r="D357">
        <v>-349</v>
      </c>
      <c r="E357">
        <v>-349</v>
      </c>
      <c r="F357" t="s">
        <v>438</v>
      </c>
      <c r="G357">
        <v>70512000</v>
      </c>
      <c r="H357" t="s">
        <v>392</v>
      </c>
      <c r="I357" t="str">
        <f t="shared" si="5"/>
        <v>70512000 Bijdrage bedrijfsleden</v>
      </c>
      <c r="J357" t="s">
        <v>364</v>
      </c>
    </row>
    <row r="358" spans="1:10" x14ac:dyDescent="0.25">
      <c r="A358">
        <v>10</v>
      </c>
      <c r="B358">
        <v>22100078</v>
      </c>
      <c r="C358" s="94">
        <v>44664</v>
      </c>
      <c r="D358">
        <v>-864</v>
      </c>
      <c r="E358">
        <v>-864</v>
      </c>
      <c r="F358" t="s">
        <v>435</v>
      </c>
      <c r="G358">
        <v>70512000</v>
      </c>
      <c r="H358" t="s">
        <v>392</v>
      </c>
      <c r="I358" t="str">
        <f t="shared" si="5"/>
        <v>70512000 Bijdrage bedrijfsleden</v>
      </c>
      <c r="J358" t="s">
        <v>364</v>
      </c>
    </row>
    <row r="359" spans="1:10" x14ac:dyDescent="0.25">
      <c r="A359">
        <v>10</v>
      </c>
      <c r="B359">
        <v>22100078</v>
      </c>
      <c r="C359" s="94">
        <v>44664</v>
      </c>
      <c r="D359">
        <v>-349</v>
      </c>
      <c r="E359">
        <v>-349</v>
      </c>
      <c r="F359" t="s">
        <v>431</v>
      </c>
      <c r="G359">
        <v>70512000</v>
      </c>
      <c r="H359" t="s">
        <v>392</v>
      </c>
      <c r="I359" t="str">
        <f t="shared" si="5"/>
        <v>70512000 Bijdrage bedrijfsleden</v>
      </c>
      <c r="J359" t="s">
        <v>364</v>
      </c>
    </row>
    <row r="360" spans="1:10" x14ac:dyDescent="0.25">
      <c r="A360">
        <v>10</v>
      </c>
      <c r="B360">
        <v>22100078</v>
      </c>
      <c r="C360" s="94">
        <v>44664</v>
      </c>
      <c r="D360">
        <v>-864</v>
      </c>
      <c r="E360">
        <v>-864</v>
      </c>
      <c r="F360" t="s">
        <v>429</v>
      </c>
      <c r="G360">
        <v>70512000</v>
      </c>
      <c r="H360" t="s">
        <v>392</v>
      </c>
      <c r="I360" t="str">
        <f t="shared" si="5"/>
        <v>70512000 Bijdrage bedrijfsleden</v>
      </c>
      <c r="J360" t="s">
        <v>364</v>
      </c>
    </row>
    <row r="361" spans="1:10" x14ac:dyDescent="0.25">
      <c r="A361">
        <v>10</v>
      </c>
      <c r="B361">
        <v>22100078</v>
      </c>
      <c r="C361" s="94">
        <v>44664</v>
      </c>
      <c r="D361">
        <v>-354</v>
      </c>
      <c r="E361">
        <v>-354</v>
      </c>
      <c r="F361" t="s">
        <v>430</v>
      </c>
      <c r="G361">
        <v>70512000</v>
      </c>
      <c r="H361" t="s">
        <v>392</v>
      </c>
      <c r="I361" t="str">
        <f t="shared" si="5"/>
        <v>70512000 Bijdrage bedrijfsleden</v>
      </c>
      <c r="J361" t="s">
        <v>364</v>
      </c>
    </row>
    <row r="362" spans="1:10" x14ac:dyDescent="0.25">
      <c r="A362">
        <v>10</v>
      </c>
      <c r="B362">
        <v>22100079</v>
      </c>
      <c r="C362" s="94">
        <v>44665</v>
      </c>
      <c r="D362">
        <v>-349</v>
      </c>
      <c r="E362">
        <v>-349</v>
      </c>
      <c r="F362" t="s">
        <v>427</v>
      </c>
      <c r="G362">
        <v>70512000</v>
      </c>
      <c r="H362" t="s">
        <v>392</v>
      </c>
      <c r="I362" t="str">
        <f t="shared" si="5"/>
        <v>70512000 Bijdrage bedrijfsleden</v>
      </c>
      <c r="J362" t="s">
        <v>364</v>
      </c>
    </row>
    <row r="363" spans="1:10" x14ac:dyDescent="0.25">
      <c r="A363">
        <v>10</v>
      </c>
      <c r="B363">
        <v>22100080</v>
      </c>
      <c r="C363" s="94">
        <v>44670</v>
      </c>
      <c r="D363">
        <v>-607</v>
      </c>
      <c r="E363">
        <v>-607</v>
      </c>
      <c r="F363" t="s">
        <v>424</v>
      </c>
      <c r="G363">
        <v>70512000</v>
      </c>
      <c r="H363" t="s">
        <v>392</v>
      </c>
      <c r="I363" t="str">
        <f t="shared" si="5"/>
        <v>70512000 Bijdrage bedrijfsleden</v>
      </c>
      <c r="J363" t="s">
        <v>364</v>
      </c>
    </row>
    <row r="364" spans="1:10" x14ac:dyDescent="0.25">
      <c r="A364">
        <v>10</v>
      </c>
      <c r="B364">
        <v>22100080</v>
      </c>
      <c r="C364" s="94">
        <v>44670</v>
      </c>
      <c r="D364">
        <v>-835</v>
      </c>
      <c r="E364">
        <v>-835</v>
      </c>
      <c r="F364" t="s">
        <v>422</v>
      </c>
      <c r="G364">
        <v>70512000</v>
      </c>
      <c r="H364" t="s">
        <v>392</v>
      </c>
      <c r="I364" t="str">
        <f t="shared" si="5"/>
        <v>70512000 Bijdrage bedrijfsleden</v>
      </c>
      <c r="J364" t="s">
        <v>364</v>
      </c>
    </row>
    <row r="365" spans="1:10" x14ac:dyDescent="0.25">
      <c r="A365">
        <v>10</v>
      </c>
      <c r="B365">
        <v>22100081</v>
      </c>
      <c r="C365" s="94">
        <v>44671</v>
      </c>
      <c r="D365">
        <v>-349</v>
      </c>
      <c r="E365">
        <v>-349</v>
      </c>
      <c r="F365" t="s">
        <v>411</v>
      </c>
      <c r="G365">
        <v>70512000</v>
      </c>
      <c r="H365" t="s">
        <v>392</v>
      </c>
      <c r="I365" t="str">
        <f t="shared" si="5"/>
        <v>70512000 Bijdrage bedrijfsleden</v>
      </c>
      <c r="J365" t="s">
        <v>364</v>
      </c>
    </row>
    <row r="366" spans="1:10" x14ac:dyDescent="0.25">
      <c r="A366">
        <v>10</v>
      </c>
      <c r="B366">
        <v>22100086</v>
      </c>
      <c r="C366" s="94">
        <v>44677</v>
      </c>
      <c r="D366">
        <v>-564</v>
      </c>
      <c r="E366">
        <v>-564</v>
      </c>
      <c r="F366" t="s">
        <v>393</v>
      </c>
      <c r="G366">
        <v>70512000</v>
      </c>
      <c r="H366" t="s">
        <v>392</v>
      </c>
      <c r="I366" t="str">
        <f t="shared" si="5"/>
        <v>70512000 Bijdrage bedrijfsleden</v>
      </c>
      <c r="J366" t="s">
        <v>364</v>
      </c>
    </row>
    <row r="367" spans="1:10" x14ac:dyDescent="0.25">
      <c r="A367">
        <v>10</v>
      </c>
      <c r="B367">
        <v>22100023</v>
      </c>
      <c r="C367" s="94">
        <v>44594</v>
      </c>
      <c r="D367">
        <v>-100</v>
      </c>
      <c r="E367">
        <v>-100</v>
      </c>
      <c r="F367" t="s">
        <v>622</v>
      </c>
      <c r="G367">
        <v>70596000</v>
      </c>
      <c r="H367" t="s">
        <v>99</v>
      </c>
      <c r="I367" t="str">
        <f t="shared" si="5"/>
        <v>70596000 Diverse inkomsten</v>
      </c>
      <c r="J367" t="s">
        <v>364</v>
      </c>
    </row>
    <row r="368" spans="1:10" x14ac:dyDescent="0.25">
      <c r="A368">
        <v>10</v>
      </c>
      <c r="B368">
        <v>22100004</v>
      </c>
      <c r="C368" s="94">
        <v>44567</v>
      </c>
      <c r="D368" s="61">
        <v>-2340</v>
      </c>
      <c r="E368" s="61">
        <v>-2340</v>
      </c>
      <c r="F368" t="s">
        <v>661</v>
      </c>
      <c r="G368">
        <v>70616000</v>
      </c>
      <c r="H368" t="s">
        <v>450</v>
      </c>
      <c r="I368" t="str">
        <f t="shared" si="5"/>
        <v>70616000 Inschrijvingen cyclus i</v>
      </c>
      <c r="J368" t="s">
        <v>399</v>
      </c>
    </row>
    <row r="369" spans="1:10" x14ac:dyDescent="0.25">
      <c r="A369">
        <v>10</v>
      </c>
      <c r="B369">
        <v>22100071</v>
      </c>
      <c r="C369" s="94">
        <v>44657</v>
      </c>
      <c r="D369">
        <v>-420</v>
      </c>
      <c r="E369">
        <v>-420</v>
      </c>
      <c r="F369" t="s">
        <v>448</v>
      </c>
      <c r="G369">
        <v>70616000</v>
      </c>
      <c r="H369" t="s">
        <v>450</v>
      </c>
      <c r="I369" t="str">
        <f t="shared" si="5"/>
        <v>70616000 Inschrijvingen cyclus i</v>
      </c>
      <c r="J369" t="s">
        <v>399</v>
      </c>
    </row>
    <row r="370" spans="1:10" x14ac:dyDescent="0.25">
      <c r="A370">
        <v>10</v>
      </c>
      <c r="B370">
        <v>22100024</v>
      </c>
      <c r="C370" s="94">
        <v>44596</v>
      </c>
      <c r="D370">
        <v>-900</v>
      </c>
      <c r="E370">
        <v>-900</v>
      </c>
      <c r="F370" t="s">
        <v>620</v>
      </c>
      <c r="G370">
        <v>70679000</v>
      </c>
      <c r="H370" t="s">
        <v>400</v>
      </c>
      <c r="I370" t="str">
        <f t="shared" si="5"/>
        <v>70679000 Inschrijvingen cyclus IV - A/B/C</v>
      </c>
      <c r="J370" t="s">
        <v>399</v>
      </c>
    </row>
    <row r="371" spans="1:10" x14ac:dyDescent="0.25">
      <c r="A371">
        <v>10</v>
      </c>
      <c r="B371">
        <v>22100026</v>
      </c>
      <c r="C371" s="94">
        <v>44599</v>
      </c>
      <c r="D371">
        <v>-750</v>
      </c>
      <c r="E371">
        <v>-750</v>
      </c>
      <c r="F371" t="s">
        <v>618</v>
      </c>
      <c r="G371">
        <v>70679000</v>
      </c>
      <c r="H371" t="s">
        <v>400</v>
      </c>
      <c r="I371" t="str">
        <f t="shared" si="5"/>
        <v>70679000 Inschrijvingen cyclus IV - A/B/C</v>
      </c>
      <c r="J371" t="s">
        <v>399</v>
      </c>
    </row>
    <row r="372" spans="1:10" x14ac:dyDescent="0.25">
      <c r="A372">
        <v>10</v>
      </c>
      <c r="B372">
        <v>22100027</v>
      </c>
      <c r="C372" s="94">
        <v>44600</v>
      </c>
      <c r="D372">
        <v>-750</v>
      </c>
      <c r="E372">
        <v>-750</v>
      </c>
      <c r="F372" t="s">
        <v>617</v>
      </c>
      <c r="G372">
        <v>70679000</v>
      </c>
      <c r="H372" t="s">
        <v>400</v>
      </c>
      <c r="I372" t="str">
        <f t="shared" si="5"/>
        <v>70679000 Inschrijvingen cyclus IV - A/B/C</v>
      </c>
      <c r="J372" t="s">
        <v>399</v>
      </c>
    </row>
    <row r="373" spans="1:10" x14ac:dyDescent="0.25">
      <c r="A373">
        <v>10</v>
      </c>
      <c r="B373">
        <v>22100032</v>
      </c>
      <c r="C373" s="94">
        <v>44606</v>
      </c>
      <c r="D373" s="61">
        <v>-1500</v>
      </c>
      <c r="E373" s="61">
        <v>-1500</v>
      </c>
      <c r="F373" t="s">
        <v>287</v>
      </c>
      <c r="G373">
        <v>70679000</v>
      </c>
      <c r="H373" t="s">
        <v>400</v>
      </c>
      <c r="I373" t="str">
        <f t="shared" si="5"/>
        <v>70679000 Inschrijvingen cyclus IV - A/B/C</v>
      </c>
      <c r="J373" t="s">
        <v>399</v>
      </c>
    </row>
    <row r="374" spans="1:10" x14ac:dyDescent="0.25">
      <c r="A374">
        <v>10</v>
      </c>
      <c r="B374">
        <v>22100032</v>
      </c>
      <c r="C374" s="94">
        <v>44606</v>
      </c>
      <c r="D374" s="61">
        <v>-1500</v>
      </c>
      <c r="E374" s="61">
        <v>-1500</v>
      </c>
      <c r="F374" t="s">
        <v>610</v>
      </c>
      <c r="G374">
        <v>70679000</v>
      </c>
      <c r="H374" t="s">
        <v>400</v>
      </c>
      <c r="I374" t="str">
        <f t="shared" si="5"/>
        <v>70679000 Inschrijvingen cyclus IV - A/B/C</v>
      </c>
      <c r="J374" t="s">
        <v>399</v>
      </c>
    </row>
    <row r="375" spans="1:10" x14ac:dyDescent="0.25">
      <c r="A375">
        <v>10</v>
      </c>
      <c r="B375">
        <v>22100036</v>
      </c>
      <c r="C375" s="94">
        <v>44610</v>
      </c>
      <c r="D375">
        <v>-720</v>
      </c>
      <c r="E375">
        <v>-720</v>
      </c>
      <c r="F375" t="s">
        <v>605</v>
      </c>
      <c r="G375">
        <v>70679000</v>
      </c>
      <c r="H375" t="s">
        <v>400</v>
      </c>
      <c r="I375" t="str">
        <f t="shared" si="5"/>
        <v>70679000 Inschrijvingen cyclus IV - A/B/C</v>
      </c>
      <c r="J375" t="s">
        <v>399</v>
      </c>
    </row>
    <row r="376" spans="1:10" x14ac:dyDescent="0.25">
      <c r="A376">
        <v>10</v>
      </c>
      <c r="B376">
        <v>22100036</v>
      </c>
      <c r="C376" s="94">
        <v>44610</v>
      </c>
      <c r="D376" s="61">
        <v>-1440</v>
      </c>
      <c r="E376" s="61">
        <v>-1440</v>
      </c>
      <c r="F376" t="s">
        <v>607</v>
      </c>
      <c r="G376">
        <v>70679000</v>
      </c>
      <c r="H376" t="s">
        <v>400</v>
      </c>
      <c r="I376" t="str">
        <f t="shared" si="5"/>
        <v>70679000 Inschrijvingen cyclus IV - A/B/C</v>
      </c>
      <c r="J376" t="s">
        <v>399</v>
      </c>
    </row>
    <row r="377" spans="1:10" x14ac:dyDescent="0.25">
      <c r="A377">
        <v>10</v>
      </c>
      <c r="B377">
        <v>22100040</v>
      </c>
      <c r="C377" s="94">
        <v>44616</v>
      </c>
      <c r="D377">
        <v>-900</v>
      </c>
      <c r="E377">
        <v>-900</v>
      </c>
      <c r="F377" t="s">
        <v>599</v>
      </c>
      <c r="G377">
        <v>70679000</v>
      </c>
      <c r="H377" t="s">
        <v>400</v>
      </c>
      <c r="I377" t="str">
        <f t="shared" si="5"/>
        <v>70679000 Inschrijvingen cyclus IV - A/B/C</v>
      </c>
      <c r="J377" t="s">
        <v>399</v>
      </c>
    </row>
    <row r="378" spans="1:10" x14ac:dyDescent="0.25">
      <c r="A378">
        <v>10</v>
      </c>
      <c r="B378">
        <v>22100041</v>
      </c>
      <c r="C378" s="94">
        <v>44617</v>
      </c>
      <c r="D378" s="61">
        <v>-1500</v>
      </c>
      <c r="E378" s="61">
        <v>-1500</v>
      </c>
      <c r="F378" t="s">
        <v>597</v>
      </c>
      <c r="G378">
        <v>70679000</v>
      </c>
      <c r="H378" t="s">
        <v>400</v>
      </c>
      <c r="I378" t="str">
        <f t="shared" si="5"/>
        <v>70679000 Inschrijvingen cyclus IV - A/B/C</v>
      </c>
      <c r="J378" t="s">
        <v>399</v>
      </c>
    </row>
    <row r="379" spans="1:10" x14ac:dyDescent="0.25">
      <c r="A379">
        <v>10</v>
      </c>
      <c r="B379">
        <v>22100043</v>
      </c>
      <c r="C379" s="94">
        <v>44622</v>
      </c>
      <c r="D379">
        <v>-900</v>
      </c>
      <c r="E379">
        <v>-900</v>
      </c>
      <c r="F379" t="s">
        <v>588</v>
      </c>
      <c r="G379">
        <v>70679000</v>
      </c>
      <c r="H379" t="s">
        <v>400</v>
      </c>
      <c r="I379" t="str">
        <f t="shared" si="5"/>
        <v>70679000 Inschrijvingen cyclus IV - A/B/C</v>
      </c>
      <c r="J379" t="s">
        <v>399</v>
      </c>
    </row>
    <row r="380" spans="1:10" x14ac:dyDescent="0.25">
      <c r="A380">
        <v>10</v>
      </c>
      <c r="B380">
        <v>22100053</v>
      </c>
      <c r="C380" s="94">
        <v>44635</v>
      </c>
      <c r="D380">
        <v>-750</v>
      </c>
      <c r="E380">
        <v>-750</v>
      </c>
      <c r="F380" t="s">
        <v>538</v>
      </c>
      <c r="G380">
        <v>70679000</v>
      </c>
      <c r="H380" t="s">
        <v>400</v>
      </c>
      <c r="I380" t="str">
        <f t="shared" si="5"/>
        <v>70679000 Inschrijvingen cyclus IV - A/B/C</v>
      </c>
      <c r="J380" t="s">
        <v>399</v>
      </c>
    </row>
    <row r="381" spans="1:10" x14ac:dyDescent="0.25">
      <c r="A381">
        <v>10</v>
      </c>
      <c r="B381">
        <v>22100055</v>
      </c>
      <c r="C381" s="94">
        <v>44637</v>
      </c>
      <c r="D381" s="61">
        <v>-2240</v>
      </c>
      <c r="E381" s="61">
        <v>-2240</v>
      </c>
      <c r="F381" t="s">
        <v>531</v>
      </c>
      <c r="G381">
        <v>70679000</v>
      </c>
      <c r="H381" t="s">
        <v>400</v>
      </c>
      <c r="I381" t="str">
        <f t="shared" si="5"/>
        <v>70679000 Inschrijvingen cyclus IV - A/B/C</v>
      </c>
      <c r="J381" t="s">
        <v>399</v>
      </c>
    </row>
    <row r="382" spans="1:10" x14ac:dyDescent="0.25">
      <c r="A382">
        <v>10</v>
      </c>
      <c r="B382">
        <v>22100056</v>
      </c>
      <c r="C382" s="94">
        <v>44638</v>
      </c>
      <c r="D382" s="61">
        <v>-2240</v>
      </c>
      <c r="E382" s="61">
        <v>-2240</v>
      </c>
      <c r="F382" t="s">
        <v>529</v>
      </c>
      <c r="G382">
        <v>70679000</v>
      </c>
      <c r="H382" t="s">
        <v>400</v>
      </c>
      <c r="I382" t="str">
        <f t="shared" si="5"/>
        <v>70679000 Inschrijvingen cyclus IV - A/B/C</v>
      </c>
      <c r="J382" t="s">
        <v>399</v>
      </c>
    </row>
    <row r="383" spans="1:10" x14ac:dyDescent="0.25">
      <c r="A383">
        <v>10</v>
      </c>
      <c r="B383">
        <v>22100059</v>
      </c>
      <c r="C383" s="94">
        <v>44641</v>
      </c>
      <c r="D383" s="61">
        <v>-2340</v>
      </c>
      <c r="E383" s="61">
        <v>-2340</v>
      </c>
      <c r="F383" t="s">
        <v>522</v>
      </c>
      <c r="G383">
        <v>70679000</v>
      </c>
      <c r="H383" t="s">
        <v>400</v>
      </c>
      <c r="I383" t="str">
        <f t="shared" si="5"/>
        <v>70679000 Inschrijvingen cyclus IV - A/B/C</v>
      </c>
      <c r="J383" t="s">
        <v>399</v>
      </c>
    </row>
    <row r="384" spans="1:10" x14ac:dyDescent="0.25">
      <c r="A384">
        <v>10</v>
      </c>
      <c r="B384">
        <v>22100062</v>
      </c>
      <c r="C384" s="94">
        <v>44644</v>
      </c>
      <c r="D384" s="61">
        <v>-2340</v>
      </c>
      <c r="E384" s="61">
        <v>-2340</v>
      </c>
      <c r="F384" t="s">
        <v>507</v>
      </c>
      <c r="G384">
        <v>70679000</v>
      </c>
      <c r="H384" t="s">
        <v>400</v>
      </c>
      <c r="I384" t="str">
        <f t="shared" si="5"/>
        <v>70679000 Inschrijvingen cyclus IV - A/B/C</v>
      </c>
      <c r="J384" t="s">
        <v>399</v>
      </c>
    </row>
    <row r="385" spans="1:10" x14ac:dyDescent="0.25">
      <c r="A385">
        <v>10</v>
      </c>
      <c r="B385">
        <v>22100065</v>
      </c>
      <c r="C385" s="94">
        <v>44649</v>
      </c>
      <c r="D385" s="61">
        <v>-2700</v>
      </c>
      <c r="E385" s="61">
        <v>-2700</v>
      </c>
      <c r="F385" t="s">
        <v>493</v>
      </c>
      <c r="G385">
        <v>70679000</v>
      </c>
      <c r="H385" t="s">
        <v>400</v>
      </c>
      <c r="I385" t="str">
        <f t="shared" si="5"/>
        <v>70679000 Inschrijvingen cyclus IV - A/B/C</v>
      </c>
      <c r="J385" t="s">
        <v>399</v>
      </c>
    </row>
    <row r="386" spans="1:10" x14ac:dyDescent="0.25">
      <c r="A386">
        <v>10</v>
      </c>
      <c r="B386">
        <v>22100066</v>
      </c>
      <c r="C386" s="94">
        <v>44650</v>
      </c>
      <c r="D386" s="61">
        <v>-2240</v>
      </c>
      <c r="E386" s="61">
        <v>-2240</v>
      </c>
      <c r="F386" t="s">
        <v>488</v>
      </c>
      <c r="G386">
        <v>70679000</v>
      </c>
      <c r="H386" t="s">
        <v>400</v>
      </c>
      <c r="I386" t="str">
        <f t="shared" ref="I386:I392" si="6">CONCATENATE(G386," ",H386)</f>
        <v>70679000 Inschrijvingen cyclus IV - A/B/C</v>
      </c>
      <c r="J386" t="s">
        <v>399</v>
      </c>
    </row>
    <row r="387" spans="1:10" x14ac:dyDescent="0.25">
      <c r="A387">
        <v>10</v>
      </c>
      <c r="B387">
        <v>22100068</v>
      </c>
      <c r="C387" s="94">
        <v>44652</v>
      </c>
      <c r="D387" s="61">
        <v>-2240</v>
      </c>
      <c r="E387" s="61">
        <v>-2240</v>
      </c>
      <c r="F387" t="s">
        <v>471</v>
      </c>
      <c r="G387">
        <v>70679000</v>
      </c>
      <c r="H387" t="s">
        <v>400</v>
      </c>
      <c r="I387" t="str">
        <f t="shared" si="6"/>
        <v>70679000 Inschrijvingen cyclus IV - A/B/C</v>
      </c>
      <c r="J387" t="s">
        <v>399</v>
      </c>
    </row>
    <row r="388" spans="1:10" x14ac:dyDescent="0.25">
      <c r="A388">
        <v>10</v>
      </c>
      <c r="B388">
        <v>22100068</v>
      </c>
      <c r="C388" s="94">
        <v>44652</v>
      </c>
      <c r="D388" s="61">
        <v>-2240</v>
      </c>
      <c r="E388" s="61">
        <v>-2240</v>
      </c>
      <c r="F388" t="s">
        <v>468</v>
      </c>
      <c r="G388">
        <v>70679000</v>
      </c>
      <c r="H388" t="s">
        <v>400</v>
      </c>
      <c r="I388" t="str">
        <f t="shared" si="6"/>
        <v>70679000 Inschrijvingen cyclus IV - A/B/C</v>
      </c>
      <c r="J388" t="s">
        <v>399</v>
      </c>
    </row>
    <row r="389" spans="1:10" x14ac:dyDescent="0.25">
      <c r="A389">
        <v>10</v>
      </c>
      <c r="B389">
        <v>22100069</v>
      </c>
      <c r="C389" s="94">
        <v>44655</v>
      </c>
      <c r="D389" s="61">
        <v>-2340</v>
      </c>
      <c r="E389" s="61">
        <v>-2340</v>
      </c>
      <c r="F389" t="s">
        <v>461</v>
      </c>
      <c r="G389">
        <v>70679000</v>
      </c>
      <c r="H389" t="s">
        <v>400</v>
      </c>
      <c r="I389" t="str">
        <f t="shared" si="6"/>
        <v>70679000 Inschrijvingen cyclus IV - A/B/C</v>
      </c>
      <c r="J389" t="s">
        <v>399</v>
      </c>
    </row>
    <row r="390" spans="1:10" x14ac:dyDescent="0.25">
      <c r="A390">
        <v>10</v>
      </c>
      <c r="B390">
        <v>22100069</v>
      </c>
      <c r="C390" s="94">
        <v>44655</v>
      </c>
      <c r="D390" s="61">
        <v>-2700</v>
      </c>
      <c r="E390" s="61">
        <v>-2700</v>
      </c>
      <c r="F390" t="s">
        <v>460</v>
      </c>
      <c r="G390">
        <v>70679000</v>
      </c>
      <c r="H390" t="s">
        <v>400</v>
      </c>
      <c r="I390" t="str">
        <f t="shared" si="6"/>
        <v>70679000 Inschrijvingen cyclus IV - A/B/C</v>
      </c>
      <c r="J390" t="s">
        <v>399</v>
      </c>
    </row>
    <row r="391" spans="1:10" x14ac:dyDescent="0.25">
      <c r="A391">
        <v>10</v>
      </c>
      <c r="B391">
        <v>22100086</v>
      </c>
      <c r="C391" s="94">
        <v>44677</v>
      </c>
      <c r="D391" s="61">
        <v>-2340</v>
      </c>
      <c r="E391" s="61">
        <v>-2340</v>
      </c>
      <c r="F391" t="s">
        <v>398</v>
      </c>
      <c r="G391">
        <v>70679000</v>
      </c>
      <c r="H391" t="s">
        <v>400</v>
      </c>
      <c r="I391" t="str">
        <f t="shared" si="6"/>
        <v>70679000 Inschrijvingen cyclus IV - A/B/C</v>
      </c>
      <c r="J391" t="s">
        <v>399</v>
      </c>
    </row>
    <row r="392" spans="1:10" x14ac:dyDescent="0.25">
      <c r="A392">
        <v>10</v>
      </c>
      <c r="B392">
        <v>22100040</v>
      </c>
      <c r="C392" s="94">
        <v>44616</v>
      </c>
      <c r="D392">
        <v>-900</v>
      </c>
      <c r="E392">
        <v>-900</v>
      </c>
      <c r="F392" t="s">
        <v>600</v>
      </c>
      <c r="G392">
        <v>70679010</v>
      </c>
      <c r="H392" t="s">
        <v>601</v>
      </c>
      <c r="I392" t="str">
        <f t="shared" si="6"/>
        <v>70679010 Inschrijving cyclus Sanitair</v>
      </c>
      <c r="J392" t="s">
        <v>399</v>
      </c>
    </row>
  </sheetData>
  <sortState xmlns:xlrd2="http://schemas.microsoft.com/office/spreadsheetml/2017/richdata2" ref="A2:J392">
    <sortCondition ref="I2:I39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6E36D-FFF8-492A-A91C-EA4BAADCA1C4}">
  <dimension ref="A2:G21"/>
  <sheetViews>
    <sheetView workbookViewId="0">
      <selection activeCell="B18" sqref="B18"/>
    </sheetView>
  </sheetViews>
  <sheetFormatPr defaultRowHeight="13.2" x14ac:dyDescent="0.25"/>
  <cols>
    <col min="1" max="1" width="39.88671875" bestFit="1" customWidth="1"/>
    <col min="2" max="2" width="11" bestFit="1" customWidth="1"/>
    <col min="4" max="4" width="9.6640625" bestFit="1" customWidth="1"/>
  </cols>
  <sheetData>
    <row r="2" spans="1:7" x14ac:dyDescent="0.25">
      <c r="A2" s="103" t="s">
        <v>222</v>
      </c>
    </row>
    <row r="4" spans="1:7" x14ac:dyDescent="0.25">
      <c r="A4" t="s">
        <v>216</v>
      </c>
      <c r="B4" s="104">
        <f>(5352.46*13)+(5352.46*0.23)</f>
        <v>70813.045799999993</v>
      </c>
      <c r="D4" s="103" t="s">
        <v>223</v>
      </c>
      <c r="G4" s="55">
        <v>5352.46</v>
      </c>
    </row>
    <row r="5" spans="1:7" x14ac:dyDescent="0.25">
      <c r="A5" t="s">
        <v>217</v>
      </c>
      <c r="B5" s="104">
        <v>5263.4</v>
      </c>
      <c r="D5" s="103" t="s">
        <v>224</v>
      </c>
    </row>
    <row r="6" spans="1:7" x14ac:dyDescent="0.25">
      <c r="A6" t="s">
        <v>218</v>
      </c>
      <c r="B6" s="104">
        <v>632.73</v>
      </c>
    </row>
    <row r="7" spans="1:7" x14ac:dyDescent="0.25">
      <c r="A7" t="s">
        <v>219</v>
      </c>
      <c r="B7" s="104">
        <v>2370</v>
      </c>
    </row>
    <row r="8" spans="1:7" x14ac:dyDescent="0.25">
      <c r="A8" t="s">
        <v>225</v>
      </c>
      <c r="B8" s="104">
        <v>-1370.02</v>
      </c>
    </row>
    <row r="9" spans="1:7" x14ac:dyDescent="0.25">
      <c r="B9" s="104">
        <f>SUM(B4:B8)</f>
        <v>77709.155799999979</v>
      </c>
    </row>
    <row r="11" spans="1:7" x14ac:dyDescent="0.25">
      <c r="A11" s="103" t="s">
        <v>738</v>
      </c>
    </row>
    <row r="13" spans="1:7" x14ac:dyDescent="0.25">
      <c r="A13" t="s">
        <v>216</v>
      </c>
      <c r="B13" s="104">
        <f>G13*13 + (G13*0.23)</f>
        <v>82680.884999999995</v>
      </c>
      <c r="D13" s="103" t="s">
        <v>223</v>
      </c>
      <c r="G13" s="55">
        <v>6249.5</v>
      </c>
    </row>
    <row r="14" spans="1:7" x14ac:dyDescent="0.25">
      <c r="A14" t="s">
        <v>217</v>
      </c>
      <c r="B14" s="104">
        <v>5261.28</v>
      </c>
      <c r="D14" s="103" t="s">
        <v>224</v>
      </c>
    </row>
    <row r="15" spans="1:7" x14ac:dyDescent="0.25">
      <c r="A15" t="s">
        <v>218</v>
      </c>
      <c r="B15" s="104">
        <v>850</v>
      </c>
    </row>
    <row r="16" spans="1:7" x14ac:dyDescent="0.25">
      <c r="A16" s="103" t="s">
        <v>745</v>
      </c>
      <c r="B16" s="104">
        <v>2500</v>
      </c>
    </row>
    <row r="17" spans="1:4" x14ac:dyDescent="0.25">
      <c r="A17" t="s">
        <v>739</v>
      </c>
      <c r="B17" s="104">
        <f>140.14*12</f>
        <v>1681.6799999999998</v>
      </c>
      <c r="D17" s="103" t="s">
        <v>746</v>
      </c>
    </row>
    <row r="18" spans="1:4" x14ac:dyDescent="0.25">
      <c r="A18" t="s">
        <v>741</v>
      </c>
      <c r="B18" s="104">
        <f>(100+125)*12</f>
        <v>2700</v>
      </c>
      <c r="D18" s="54">
        <f>B13+B14+B15+B17+B18</f>
        <v>93173.844999999987</v>
      </c>
    </row>
    <row r="19" spans="1:4" x14ac:dyDescent="0.25">
      <c r="A19" t="s">
        <v>225</v>
      </c>
      <c r="B19" s="104">
        <v>-1681.68</v>
      </c>
    </row>
    <row r="20" spans="1:4" x14ac:dyDescent="0.25">
      <c r="A20" t="s">
        <v>740</v>
      </c>
      <c r="B20" s="104">
        <v>-1699.92</v>
      </c>
    </row>
    <row r="21" spans="1:4" x14ac:dyDescent="0.25">
      <c r="A21" s="103" t="s">
        <v>742</v>
      </c>
      <c r="B21">
        <v>-274.68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FC75C-7185-4E27-A0D9-91A01E422F7D}">
  <dimension ref="A1:E32"/>
  <sheetViews>
    <sheetView topLeftCell="A13" workbookViewId="0">
      <selection activeCell="A8" sqref="A8"/>
    </sheetView>
  </sheetViews>
  <sheetFormatPr defaultRowHeight="19.95" customHeight="1" x14ac:dyDescent="0.25"/>
  <cols>
    <col min="1" max="1" width="64.6640625" customWidth="1"/>
    <col min="2" max="2" width="13.33203125" customWidth="1"/>
    <col min="3" max="3" width="11" bestFit="1" customWidth="1"/>
    <col min="4" max="4" width="69.109375" style="15" customWidth="1"/>
    <col min="5" max="5" width="20.88671875" customWidth="1"/>
  </cols>
  <sheetData>
    <row r="1" spans="1:5" ht="19.95" customHeight="1" x14ac:dyDescent="0.25">
      <c r="A1" s="105" t="s">
        <v>236</v>
      </c>
    </row>
    <row r="2" spans="1:5" ht="19.95" customHeight="1" x14ac:dyDescent="0.25">
      <c r="A2" t="s">
        <v>193</v>
      </c>
      <c r="B2">
        <v>22</v>
      </c>
      <c r="C2">
        <v>3354</v>
      </c>
      <c r="D2" s="15" t="s">
        <v>194</v>
      </c>
    </row>
    <row r="3" spans="1:5" ht="19.95" customHeight="1" x14ac:dyDescent="0.25">
      <c r="A3" t="s">
        <v>195</v>
      </c>
      <c r="B3">
        <v>22</v>
      </c>
      <c r="C3">
        <v>2332</v>
      </c>
      <c r="D3" s="15" t="s">
        <v>207</v>
      </c>
    </row>
    <row r="4" spans="1:5" ht="19.95" customHeight="1" x14ac:dyDescent="0.25">
      <c r="A4" t="s">
        <v>208</v>
      </c>
      <c r="C4" s="105">
        <v>4664</v>
      </c>
      <c r="D4" s="15" t="s">
        <v>194</v>
      </c>
    </row>
    <row r="5" spans="1:5" ht="19.95" customHeight="1" x14ac:dyDescent="0.25">
      <c r="A5" t="s">
        <v>209</v>
      </c>
      <c r="C5">
        <v>4580</v>
      </c>
      <c r="D5" s="15" t="s">
        <v>194</v>
      </c>
    </row>
    <row r="6" spans="1:5" ht="19.95" customHeight="1" x14ac:dyDescent="0.25">
      <c r="A6" t="s">
        <v>211</v>
      </c>
      <c r="C6">
        <v>2107</v>
      </c>
      <c r="D6" s="93" t="s">
        <v>194</v>
      </c>
    </row>
    <row r="7" spans="1:5" ht="19.95" customHeight="1" x14ac:dyDescent="0.25">
      <c r="A7" t="s">
        <v>210</v>
      </c>
      <c r="C7">
        <v>1526</v>
      </c>
      <c r="D7" s="93" t="s">
        <v>212</v>
      </c>
    </row>
    <row r="8" spans="1:5" ht="30" customHeight="1" x14ac:dyDescent="0.25">
      <c r="D8" s="15" t="s">
        <v>203</v>
      </c>
    </row>
    <row r="9" spans="1:5" ht="30" customHeight="1" x14ac:dyDescent="0.25"/>
    <row r="10" spans="1:5" ht="30" customHeight="1" x14ac:dyDescent="0.25">
      <c r="A10" s="107" t="s">
        <v>235</v>
      </c>
      <c r="B10" s="108"/>
      <c r="C10" s="108">
        <v>62500</v>
      </c>
      <c r="D10" s="109" t="s">
        <v>237</v>
      </c>
      <c r="E10" s="110"/>
    </row>
    <row r="11" spans="1:5" ht="30" customHeight="1" x14ac:dyDescent="0.25">
      <c r="A11" s="108"/>
      <c r="B11" s="108"/>
      <c r="C11" s="108">
        <v>68400</v>
      </c>
      <c r="D11" s="109" t="s">
        <v>205</v>
      </c>
      <c r="E11" s="110"/>
    </row>
    <row r="12" spans="1:5" ht="30" customHeight="1" x14ac:dyDescent="0.25">
      <c r="A12" s="108"/>
      <c r="B12" s="108"/>
      <c r="C12" s="108">
        <v>23850</v>
      </c>
      <c r="D12" s="109" t="s">
        <v>206</v>
      </c>
      <c r="E12" s="110"/>
    </row>
    <row r="13" spans="1:5" ht="19.95" customHeight="1" x14ac:dyDescent="0.25">
      <c r="A13" s="108"/>
      <c r="B13" s="108"/>
      <c r="C13" s="108">
        <v>15060</v>
      </c>
      <c r="D13" s="109" t="s">
        <v>204</v>
      </c>
      <c r="E13" s="110"/>
    </row>
    <row r="14" spans="1:5" ht="19.95" customHeight="1" x14ac:dyDescent="0.25">
      <c r="A14" s="110"/>
      <c r="B14" s="110"/>
      <c r="C14" s="110"/>
      <c r="D14" s="111"/>
      <c r="E14" s="110"/>
    </row>
    <row r="15" spans="1:5" ht="19.95" customHeight="1" x14ac:dyDescent="0.25">
      <c r="A15" s="110"/>
      <c r="B15" s="110"/>
      <c r="C15" s="110"/>
      <c r="D15" s="111"/>
      <c r="E15" s="110"/>
    </row>
    <row r="16" spans="1:5" ht="19.95" customHeight="1" x14ac:dyDescent="0.25">
      <c r="A16" s="107" t="s">
        <v>234</v>
      </c>
      <c r="B16" s="108" t="s">
        <v>196</v>
      </c>
      <c r="C16" s="108">
        <v>6075</v>
      </c>
      <c r="D16" s="109" t="s">
        <v>197</v>
      </c>
      <c r="E16" s="108"/>
    </row>
    <row r="17" spans="1:5" ht="19.95" customHeight="1" x14ac:dyDescent="0.25">
      <c r="A17" s="108"/>
      <c r="B17" s="108" t="s">
        <v>198</v>
      </c>
      <c r="C17" s="108">
        <v>20250</v>
      </c>
      <c r="D17" s="109" t="s">
        <v>197</v>
      </c>
      <c r="E17" s="108" t="s">
        <v>200</v>
      </c>
    </row>
    <row r="18" spans="1:5" ht="19.95" customHeight="1" x14ac:dyDescent="0.25">
      <c r="A18" s="108"/>
      <c r="B18" s="108" t="s">
        <v>199</v>
      </c>
      <c r="C18" s="108">
        <v>18225</v>
      </c>
      <c r="D18" s="109" t="s">
        <v>197</v>
      </c>
      <c r="E18" s="108" t="s">
        <v>201</v>
      </c>
    </row>
    <row r="19" spans="1:5" ht="19.95" customHeight="1" x14ac:dyDescent="0.25">
      <c r="A19" s="108"/>
      <c r="B19" s="108" t="s">
        <v>202</v>
      </c>
      <c r="C19" s="108">
        <v>5400</v>
      </c>
      <c r="D19" s="109"/>
      <c r="E19" s="108"/>
    </row>
    <row r="20" spans="1:5" ht="19.95" customHeight="1" x14ac:dyDescent="0.25">
      <c r="A20" s="108" t="s">
        <v>142</v>
      </c>
      <c r="B20" s="108"/>
      <c r="C20" s="108">
        <f>SUM(C16:C19)</f>
        <v>49950</v>
      </c>
      <c r="D20" s="109"/>
      <c r="E20" s="108"/>
    </row>
    <row r="21" spans="1:5" ht="19.95" customHeight="1" x14ac:dyDescent="0.25">
      <c r="A21" s="110"/>
      <c r="B21" s="110"/>
      <c r="C21" s="110"/>
      <c r="D21" s="111"/>
      <c r="E21" s="110"/>
    </row>
    <row r="22" spans="1:5" ht="19.95" customHeight="1" x14ac:dyDescent="0.25">
      <c r="A22" s="110"/>
      <c r="B22" s="110"/>
      <c r="C22" s="110"/>
      <c r="D22" s="111"/>
      <c r="E22" s="110"/>
    </row>
    <row r="23" spans="1:5" ht="19.95" customHeight="1" x14ac:dyDescent="0.25">
      <c r="A23" s="110"/>
      <c r="B23" s="110"/>
      <c r="C23" s="110"/>
      <c r="D23" s="111"/>
      <c r="E23" s="110"/>
    </row>
    <row r="24" spans="1:5" ht="19.95" customHeight="1" x14ac:dyDescent="0.25">
      <c r="A24" s="110"/>
      <c r="B24" s="110"/>
      <c r="C24" s="110"/>
      <c r="D24" s="111"/>
      <c r="E24" s="110"/>
    </row>
    <row r="25" spans="1:5" ht="19.95" customHeight="1" x14ac:dyDescent="0.25">
      <c r="A25" s="107" t="s">
        <v>230</v>
      </c>
      <c r="B25" s="108">
        <v>19042</v>
      </c>
      <c r="C25" s="110"/>
      <c r="D25" s="111"/>
      <c r="E25" s="110"/>
    </row>
    <row r="26" spans="1:5" ht="19.95" customHeight="1" x14ac:dyDescent="0.25">
      <c r="A26" s="112" t="s">
        <v>229</v>
      </c>
      <c r="B26" s="108">
        <v>2043</v>
      </c>
      <c r="C26" s="110"/>
      <c r="D26" s="111"/>
      <c r="E26" s="110"/>
    </row>
    <row r="27" spans="1:5" ht="19.95" customHeight="1" x14ac:dyDescent="0.25">
      <c r="A27" s="112" t="s">
        <v>228</v>
      </c>
      <c r="B27" s="108">
        <v>7507</v>
      </c>
      <c r="C27" s="110"/>
      <c r="D27" s="111"/>
      <c r="E27" s="110"/>
    </row>
    <row r="28" spans="1:5" ht="19.95" customHeight="1" x14ac:dyDescent="0.25">
      <c r="A28" s="112" t="s">
        <v>231</v>
      </c>
      <c r="B28" s="108">
        <v>6906</v>
      </c>
      <c r="C28" s="110"/>
      <c r="D28" s="111"/>
      <c r="E28" s="110"/>
    </row>
    <row r="29" spans="1:5" ht="19.95" customHeight="1" x14ac:dyDescent="0.25">
      <c r="A29" s="112" t="s">
        <v>233</v>
      </c>
      <c r="B29" s="108">
        <v>2586</v>
      </c>
      <c r="C29" s="110"/>
      <c r="D29" s="111"/>
      <c r="E29" s="110"/>
    </row>
    <row r="30" spans="1:5" ht="19.95" customHeight="1" x14ac:dyDescent="0.25">
      <c r="A30" s="112" t="s">
        <v>232</v>
      </c>
      <c r="B30" s="108"/>
      <c r="C30" s="110"/>
      <c r="D30" s="111"/>
      <c r="E30" s="110"/>
    </row>
    <row r="31" spans="1:5" ht="19.95" customHeight="1" x14ac:dyDescent="0.25">
      <c r="A31" s="110"/>
      <c r="B31" s="110"/>
      <c r="C31" s="110"/>
      <c r="D31" s="111"/>
      <c r="E31" s="110"/>
    </row>
    <row r="32" spans="1:5" ht="19.95" customHeight="1" x14ac:dyDescent="0.25">
      <c r="A32" s="110"/>
      <c r="B32" s="110"/>
      <c r="C32" s="110"/>
      <c r="D32" s="111"/>
      <c r="E32" s="1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24DED-1667-4C35-95AD-66B86EC32DFF}">
  <dimension ref="A1:J60"/>
  <sheetViews>
    <sheetView workbookViewId="0">
      <selection activeCell="M47" sqref="M47"/>
    </sheetView>
  </sheetViews>
  <sheetFormatPr defaultRowHeight="13.2" x14ac:dyDescent="0.25"/>
  <cols>
    <col min="5" max="5" width="26.88671875" bestFit="1" customWidth="1"/>
    <col min="7" max="7" width="63.6640625" bestFit="1" customWidth="1"/>
  </cols>
  <sheetData>
    <row r="1" spans="1:10" x14ac:dyDescent="0.25">
      <c r="A1" t="s">
        <v>239</v>
      </c>
    </row>
    <row r="2" spans="1:10" x14ac:dyDescent="0.25">
      <c r="A2" t="s">
        <v>240</v>
      </c>
    </row>
    <row r="3" spans="1:10" x14ac:dyDescent="0.25">
      <c r="A3" t="s">
        <v>241</v>
      </c>
    </row>
    <row r="5" spans="1:10" x14ac:dyDescent="0.25">
      <c r="A5" t="s">
        <v>242</v>
      </c>
    </row>
    <row r="6" spans="1:10" x14ac:dyDescent="0.25">
      <c r="A6" t="s">
        <v>243</v>
      </c>
      <c r="B6" t="s">
        <v>244</v>
      </c>
      <c r="C6" t="s">
        <v>245</v>
      </c>
      <c r="D6" t="s">
        <v>246</v>
      </c>
      <c r="E6" t="s">
        <v>247</v>
      </c>
      <c r="F6" t="s">
        <v>246</v>
      </c>
    </row>
    <row r="7" spans="1:10" x14ac:dyDescent="0.25">
      <c r="A7" t="s">
        <v>248</v>
      </c>
      <c r="B7" t="s">
        <v>249</v>
      </c>
      <c r="C7" t="s">
        <v>250</v>
      </c>
      <c r="D7">
        <v>2021</v>
      </c>
      <c r="E7" t="s">
        <v>251</v>
      </c>
    </row>
    <row r="10" spans="1:10" x14ac:dyDescent="0.25">
      <c r="A10" t="s">
        <v>252</v>
      </c>
      <c r="B10" t="s">
        <v>253</v>
      </c>
      <c r="C10" t="s">
        <v>254</v>
      </c>
      <c r="D10" t="s">
        <v>255</v>
      </c>
      <c r="E10" t="s">
        <v>256</v>
      </c>
      <c r="F10" t="s">
        <v>257</v>
      </c>
      <c r="G10" t="s">
        <v>122</v>
      </c>
      <c r="H10" t="s">
        <v>258</v>
      </c>
      <c r="I10" t="s">
        <v>259</v>
      </c>
    </row>
    <row r="11" spans="1:10" x14ac:dyDescent="0.25">
      <c r="A11">
        <v>86</v>
      </c>
      <c r="B11">
        <v>10</v>
      </c>
      <c r="C11">
        <v>44477</v>
      </c>
      <c r="D11">
        <v>21100191</v>
      </c>
      <c r="E11" t="s">
        <v>260</v>
      </c>
      <c r="F11" t="s">
        <v>261</v>
      </c>
      <c r="G11" t="s">
        <v>262</v>
      </c>
      <c r="I11">
        <v>1440</v>
      </c>
      <c r="J11" t="s">
        <v>263</v>
      </c>
    </row>
    <row r="12" spans="1:10" x14ac:dyDescent="0.25">
      <c r="A12">
        <v>87</v>
      </c>
      <c r="B12">
        <v>10</v>
      </c>
      <c r="C12">
        <v>44480</v>
      </c>
      <c r="D12">
        <v>21100194</v>
      </c>
      <c r="E12" t="s">
        <v>260</v>
      </c>
      <c r="F12" t="s">
        <v>261</v>
      </c>
      <c r="G12" t="s">
        <v>264</v>
      </c>
      <c r="I12">
        <v>1500</v>
      </c>
      <c r="J12" t="s">
        <v>263</v>
      </c>
    </row>
    <row r="13" spans="1:10" x14ac:dyDescent="0.25">
      <c r="A13">
        <v>88</v>
      </c>
      <c r="B13">
        <v>10</v>
      </c>
      <c r="C13">
        <v>44480</v>
      </c>
      <c r="D13">
        <v>21100194</v>
      </c>
      <c r="E13" t="s">
        <v>260</v>
      </c>
      <c r="F13" t="s">
        <v>261</v>
      </c>
      <c r="G13" t="s">
        <v>265</v>
      </c>
      <c r="I13">
        <v>900</v>
      </c>
      <c r="J13" t="s">
        <v>263</v>
      </c>
    </row>
    <row r="14" spans="1:10" x14ac:dyDescent="0.25">
      <c r="A14">
        <v>89</v>
      </c>
      <c r="B14">
        <v>10</v>
      </c>
      <c r="C14">
        <v>44480</v>
      </c>
      <c r="D14">
        <v>21100194</v>
      </c>
      <c r="E14" t="s">
        <v>260</v>
      </c>
      <c r="F14" t="s">
        <v>261</v>
      </c>
      <c r="G14" t="s">
        <v>266</v>
      </c>
      <c r="I14">
        <v>750</v>
      </c>
      <c r="J14" t="s">
        <v>263</v>
      </c>
    </row>
    <row r="15" spans="1:10" x14ac:dyDescent="0.25">
      <c r="A15">
        <v>90</v>
      </c>
      <c r="B15">
        <v>10</v>
      </c>
      <c r="C15">
        <v>44482</v>
      </c>
      <c r="D15">
        <v>21100196</v>
      </c>
      <c r="E15" t="s">
        <v>260</v>
      </c>
      <c r="F15" t="s">
        <v>261</v>
      </c>
      <c r="G15" t="s">
        <v>267</v>
      </c>
      <c r="I15">
        <v>1800</v>
      </c>
      <c r="J15" t="s">
        <v>263</v>
      </c>
    </row>
    <row r="16" spans="1:10" x14ac:dyDescent="0.25">
      <c r="A16">
        <v>91</v>
      </c>
      <c r="B16">
        <v>10</v>
      </c>
      <c r="C16">
        <v>44482</v>
      </c>
      <c r="D16">
        <v>21100196</v>
      </c>
      <c r="E16" t="s">
        <v>260</v>
      </c>
      <c r="F16" t="s">
        <v>261</v>
      </c>
      <c r="G16" t="s">
        <v>268</v>
      </c>
      <c r="I16">
        <v>590</v>
      </c>
      <c r="J16" t="s">
        <v>263</v>
      </c>
    </row>
    <row r="17" spans="1:10" x14ac:dyDescent="0.25">
      <c r="A17">
        <v>92</v>
      </c>
      <c r="B17">
        <v>10</v>
      </c>
      <c r="C17">
        <v>44484</v>
      </c>
      <c r="D17">
        <v>21100198</v>
      </c>
      <c r="E17" t="s">
        <v>260</v>
      </c>
      <c r="F17" t="s">
        <v>261</v>
      </c>
      <c r="G17" t="s">
        <v>269</v>
      </c>
      <c r="I17">
        <v>900</v>
      </c>
      <c r="J17" t="s">
        <v>263</v>
      </c>
    </row>
    <row r="18" spans="1:10" x14ac:dyDescent="0.25">
      <c r="A18">
        <v>93</v>
      </c>
      <c r="B18">
        <v>10</v>
      </c>
      <c r="C18">
        <v>44487</v>
      </c>
      <c r="D18">
        <v>21100200</v>
      </c>
      <c r="E18" t="s">
        <v>260</v>
      </c>
      <c r="F18" t="s">
        <v>261</v>
      </c>
      <c r="G18" t="s">
        <v>270</v>
      </c>
      <c r="I18">
        <v>2160</v>
      </c>
      <c r="J18" t="s">
        <v>263</v>
      </c>
    </row>
    <row r="19" spans="1:10" x14ac:dyDescent="0.25">
      <c r="A19">
        <v>94</v>
      </c>
      <c r="B19">
        <v>10</v>
      </c>
      <c r="C19">
        <v>44494</v>
      </c>
      <c r="D19">
        <v>21100206</v>
      </c>
      <c r="E19" t="s">
        <v>260</v>
      </c>
      <c r="F19" t="s">
        <v>261</v>
      </c>
      <c r="G19" t="s">
        <v>271</v>
      </c>
      <c r="I19">
        <v>750</v>
      </c>
      <c r="J19" t="s">
        <v>263</v>
      </c>
    </row>
    <row r="20" spans="1:10" x14ac:dyDescent="0.25">
      <c r="A20">
        <v>95</v>
      </c>
      <c r="B20">
        <v>10</v>
      </c>
      <c r="C20">
        <v>44496</v>
      </c>
      <c r="D20">
        <v>21100207</v>
      </c>
      <c r="E20" t="s">
        <v>260</v>
      </c>
      <c r="F20" t="s">
        <v>261</v>
      </c>
      <c r="G20" t="s">
        <v>272</v>
      </c>
      <c r="I20">
        <v>900</v>
      </c>
      <c r="J20" t="s">
        <v>263</v>
      </c>
    </row>
    <row r="21" spans="1:10" x14ac:dyDescent="0.25">
      <c r="A21">
        <v>96</v>
      </c>
      <c r="B21">
        <v>10</v>
      </c>
      <c r="C21">
        <v>44497</v>
      </c>
      <c r="D21">
        <v>21100208</v>
      </c>
      <c r="E21" t="s">
        <v>260</v>
      </c>
      <c r="F21" t="s">
        <v>261</v>
      </c>
      <c r="G21" t="s">
        <v>273</v>
      </c>
      <c r="I21">
        <v>750</v>
      </c>
      <c r="J21" t="s">
        <v>263</v>
      </c>
    </row>
    <row r="22" spans="1:10" x14ac:dyDescent="0.25">
      <c r="A22">
        <v>97</v>
      </c>
      <c r="B22">
        <v>11</v>
      </c>
      <c r="C22">
        <v>44501</v>
      </c>
      <c r="D22">
        <v>21100209</v>
      </c>
      <c r="E22" t="s">
        <v>260</v>
      </c>
      <c r="F22" t="s">
        <v>261</v>
      </c>
      <c r="G22" t="s">
        <v>274</v>
      </c>
      <c r="I22">
        <v>600</v>
      </c>
      <c r="J22" t="s">
        <v>275</v>
      </c>
    </row>
    <row r="23" spans="1:10" x14ac:dyDescent="0.25">
      <c r="A23">
        <v>99</v>
      </c>
      <c r="B23">
        <v>11</v>
      </c>
      <c r="C23">
        <v>44517</v>
      </c>
      <c r="D23">
        <v>21100217</v>
      </c>
      <c r="E23" t="s">
        <v>260</v>
      </c>
      <c r="F23" t="s">
        <v>261</v>
      </c>
      <c r="G23" t="s">
        <v>276</v>
      </c>
      <c r="I23">
        <v>600</v>
      </c>
      <c r="J23" t="s">
        <v>275</v>
      </c>
    </row>
    <row r="24" spans="1:10" x14ac:dyDescent="0.25">
      <c r="A24">
        <v>100</v>
      </c>
      <c r="B24">
        <v>11</v>
      </c>
      <c r="C24">
        <v>44518</v>
      </c>
      <c r="D24">
        <v>21100218</v>
      </c>
      <c r="E24" t="s">
        <v>260</v>
      </c>
      <c r="F24" t="s">
        <v>261</v>
      </c>
      <c r="G24" t="s">
        <v>277</v>
      </c>
      <c r="I24">
        <v>720</v>
      </c>
      <c r="J24" t="s">
        <v>275</v>
      </c>
    </row>
    <row r="25" spans="1:10" x14ac:dyDescent="0.25">
      <c r="A25">
        <v>101</v>
      </c>
      <c r="B25">
        <v>11</v>
      </c>
      <c r="C25">
        <v>44525</v>
      </c>
      <c r="D25">
        <v>21100222</v>
      </c>
      <c r="E25" t="s">
        <v>260</v>
      </c>
      <c r="F25" t="s">
        <v>261</v>
      </c>
      <c r="G25" t="s">
        <v>278</v>
      </c>
      <c r="I25">
        <v>1200</v>
      </c>
      <c r="J25" t="s">
        <v>275</v>
      </c>
    </row>
    <row r="26" spans="1:10" x14ac:dyDescent="0.25">
      <c r="A26">
        <v>102</v>
      </c>
      <c r="B26">
        <v>11</v>
      </c>
      <c r="C26">
        <v>44525</v>
      </c>
      <c r="D26">
        <v>21100222</v>
      </c>
      <c r="E26" t="s">
        <v>260</v>
      </c>
      <c r="F26" t="s">
        <v>261</v>
      </c>
      <c r="G26" t="s">
        <v>279</v>
      </c>
      <c r="I26">
        <v>750</v>
      </c>
      <c r="J26" t="s">
        <v>263</v>
      </c>
    </row>
    <row r="27" spans="1:10" x14ac:dyDescent="0.25">
      <c r="A27">
        <v>103</v>
      </c>
      <c r="B27">
        <v>11</v>
      </c>
      <c r="C27">
        <v>44529</v>
      </c>
      <c r="D27">
        <v>21100224</v>
      </c>
      <c r="E27" t="s">
        <v>260</v>
      </c>
      <c r="F27" t="s">
        <v>261</v>
      </c>
      <c r="G27" t="s">
        <v>280</v>
      </c>
      <c r="I27">
        <v>1200</v>
      </c>
      <c r="J27" t="s">
        <v>275</v>
      </c>
    </row>
    <row r="28" spans="1:10" x14ac:dyDescent="0.25">
      <c r="A28">
        <v>104</v>
      </c>
      <c r="B28">
        <v>12</v>
      </c>
      <c r="C28">
        <v>44531</v>
      </c>
      <c r="D28">
        <v>21100226</v>
      </c>
      <c r="E28" t="s">
        <v>260</v>
      </c>
      <c r="F28" t="s">
        <v>261</v>
      </c>
      <c r="G28" t="s">
        <v>281</v>
      </c>
      <c r="I28">
        <v>1470</v>
      </c>
      <c r="J28" t="s">
        <v>282</v>
      </c>
    </row>
    <row r="29" spans="1:10" x14ac:dyDescent="0.25">
      <c r="A29">
        <v>105</v>
      </c>
      <c r="B29">
        <v>12</v>
      </c>
      <c r="C29">
        <v>44531</v>
      </c>
      <c r="D29">
        <v>21100226</v>
      </c>
      <c r="E29" t="s">
        <v>260</v>
      </c>
      <c r="F29" t="s">
        <v>261</v>
      </c>
      <c r="G29" t="s">
        <v>283</v>
      </c>
      <c r="I29">
        <v>600</v>
      </c>
      <c r="J29" t="s">
        <v>275</v>
      </c>
    </row>
    <row r="30" spans="1:10" x14ac:dyDescent="0.25">
      <c r="A30">
        <v>106</v>
      </c>
      <c r="B30">
        <v>12</v>
      </c>
      <c r="C30">
        <v>44533</v>
      </c>
      <c r="D30">
        <v>21100228</v>
      </c>
      <c r="E30" t="s">
        <v>260</v>
      </c>
      <c r="F30" t="s">
        <v>261</v>
      </c>
      <c r="G30" t="s">
        <v>284</v>
      </c>
      <c r="I30">
        <v>645</v>
      </c>
      <c r="J30" t="s">
        <v>282</v>
      </c>
    </row>
    <row r="31" spans="1:10" x14ac:dyDescent="0.25">
      <c r="A31">
        <v>107</v>
      </c>
      <c r="B31">
        <v>12</v>
      </c>
      <c r="C31">
        <v>44536</v>
      </c>
      <c r="D31">
        <v>21100230</v>
      </c>
      <c r="E31" t="s">
        <v>260</v>
      </c>
      <c r="F31" t="s">
        <v>261</v>
      </c>
      <c r="G31" t="s">
        <v>285</v>
      </c>
      <c r="I31">
        <v>1710</v>
      </c>
      <c r="J31" t="s">
        <v>286</v>
      </c>
    </row>
    <row r="32" spans="1:10" x14ac:dyDescent="0.25">
      <c r="A32">
        <v>108</v>
      </c>
      <c r="B32">
        <v>12</v>
      </c>
      <c r="C32">
        <v>44537</v>
      </c>
      <c r="D32">
        <v>21100231</v>
      </c>
      <c r="E32" t="s">
        <v>260</v>
      </c>
      <c r="F32" t="s">
        <v>261</v>
      </c>
      <c r="G32" t="s">
        <v>287</v>
      </c>
      <c r="I32">
        <v>1200</v>
      </c>
      <c r="J32" t="s">
        <v>275</v>
      </c>
    </row>
    <row r="33" spans="1:10" x14ac:dyDescent="0.25">
      <c r="A33">
        <v>109</v>
      </c>
      <c r="B33">
        <v>12</v>
      </c>
      <c r="C33">
        <v>44540</v>
      </c>
      <c r="D33">
        <v>21100233</v>
      </c>
      <c r="E33" t="s">
        <v>260</v>
      </c>
      <c r="F33" t="s">
        <v>261</v>
      </c>
      <c r="G33" t="s">
        <v>288</v>
      </c>
      <c r="I33">
        <v>1500</v>
      </c>
      <c r="J33" t="s">
        <v>282</v>
      </c>
    </row>
    <row r="34" spans="1:10" x14ac:dyDescent="0.25">
      <c r="A34">
        <v>110</v>
      </c>
      <c r="B34">
        <v>12</v>
      </c>
      <c r="C34">
        <v>44543</v>
      </c>
      <c r="D34">
        <v>21100235</v>
      </c>
      <c r="E34" t="s">
        <v>260</v>
      </c>
      <c r="F34" t="s">
        <v>261</v>
      </c>
      <c r="G34" t="s">
        <v>289</v>
      </c>
      <c r="I34">
        <v>3000</v>
      </c>
      <c r="J34" t="s">
        <v>282</v>
      </c>
    </row>
    <row r="35" spans="1:10" x14ac:dyDescent="0.25">
      <c r="A35">
        <v>111</v>
      </c>
      <c r="B35">
        <v>12</v>
      </c>
      <c r="C35">
        <v>44547</v>
      </c>
      <c r="D35">
        <v>21100239</v>
      </c>
      <c r="E35" t="s">
        <v>260</v>
      </c>
      <c r="F35" t="s">
        <v>261</v>
      </c>
      <c r="G35" t="s">
        <v>290</v>
      </c>
      <c r="I35">
        <v>1800</v>
      </c>
      <c r="J35" t="s">
        <v>291</v>
      </c>
    </row>
    <row r="36" spans="1:10" x14ac:dyDescent="0.25">
      <c r="A36">
        <v>112</v>
      </c>
      <c r="B36">
        <v>12</v>
      </c>
      <c r="C36">
        <v>44547</v>
      </c>
      <c r="D36">
        <v>21100239</v>
      </c>
      <c r="E36" t="s">
        <v>260</v>
      </c>
      <c r="F36" t="s">
        <v>261</v>
      </c>
      <c r="G36" t="s">
        <v>292</v>
      </c>
      <c r="I36">
        <v>1650</v>
      </c>
      <c r="J36" t="s">
        <v>291</v>
      </c>
    </row>
    <row r="37" spans="1:10" x14ac:dyDescent="0.25">
      <c r="A37">
        <v>113</v>
      </c>
      <c r="B37">
        <v>12</v>
      </c>
      <c r="C37">
        <v>44551</v>
      </c>
      <c r="D37">
        <v>21100241</v>
      </c>
      <c r="E37" t="s">
        <v>260</v>
      </c>
      <c r="F37" t="s">
        <v>261</v>
      </c>
      <c r="G37" t="s">
        <v>287</v>
      </c>
      <c r="I37">
        <v>3000</v>
      </c>
      <c r="J37" t="s">
        <v>291</v>
      </c>
    </row>
    <row r="38" spans="1:10" x14ac:dyDescent="0.25">
      <c r="A38">
        <v>114</v>
      </c>
      <c r="B38">
        <v>12</v>
      </c>
      <c r="C38">
        <v>44552</v>
      </c>
      <c r="D38">
        <v>21100242</v>
      </c>
      <c r="E38" t="s">
        <v>260</v>
      </c>
      <c r="F38" t="s">
        <v>261</v>
      </c>
      <c r="G38" t="s">
        <v>293</v>
      </c>
      <c r="I38">
        <v>1800</v>
      </c>
      <c r="J38" t="s">
        <v>291</v>
      </c>
    </row>
    <row r="39" spans="1:10" x14ac:dyDescent="0.25">
      <c r="A39">
        <v>115</v>
      </c>
      <c r="B39">
        <v>12</v>
      </c>
      <c r="C39">
        <v>44552</v>
      </c>
      <c r="D39">
        <v>21100242</v>
      </c>
      <c r="E39" t="s">
        <v>260</v>
      </c>
      <c r="F39" t="s">
        <v>261</v>
      </c>
      <c r="G39" t="s">
        <v>294</v>
      </c>
      <c r="I39">
        <v>720</v>
      </c>
      <c r="J39" t="s">
        <v>295</v>
      </c>
    </row>
    <row r="40" spans="1:10" x14ac:dyDescent="0.25">
      <c r="A40">
        <v>116</v>
      </c>
      <c r="B40">
        <v>12</v>
      </c>
      <c r="C40">
        <v>44561</v>
      </c>
      <c r="D40">
        <v>21100247</v>
      </c>
      <c r="E40" t="s">
        <v>260</v>
      </c>
      <c r="F40" t="s">
        <v>261</v>
      </c>
      <c r="G40" t="s">
        <v>296</v>
      </c>
      <c r="I40">
        <v>750</v>
      </c>
      <c r="J40" t="s">
        <v>297</v>
      </c>
    </row>
    <row r="41" spans="1:10" x14ac:dyDescent="0.25">
      <c r="A41">
        <v>117</v>
      </c>
      <c r="B41">
        <v>12</v>
      </c>
      <c r="C41">
        <v>44561</v>
      </c>
      <c r="D41">
        <v>21100247</v>
      </c>
      <c r="E41" t="s">
        <v>260</v>
      </c>
      <c r="F41" t="s">
        <v>261</v>
      </c>
      <c r="G41" t="s">
        <v>298</v>
      </c>
      <c r="I41">
        <v>600</v>
      </c>
      <c r="J41" t="s">
        <v>295</v>
      </c>
    </row>
    <row r="42" spans="1:10" x14ac:dyDescent="0.25">
      <c r="A42">
        <v>119</v>
      </c>
      <c r="B42">
        <v>12</v>
      </c>
      <c r="C42">
        <v>44561</v>
      </c>
      <c r="D42">
        <v>21800024</v>
      </c>
      <c r="E42" t="s">
        <v>299</v>
      </c>
      <c r="F42" t="s">
        <v>261</v>
      </c>
      <c r="G42" t="s">
        <v>300</v>
      </c>
      <c r="I42">
        <v>835</v>
      </c>
      <c r="J42" t="s">
        <v>282</v>
      </c>
    </row>
    <row r="43" spans="1:10" x14ac:dyDescent="0.25">
      <c r="A43">
        <v>120</v>
      </c>
      <c r="B43">
        <v>12</v>
      </c>
      <c r="C43">
        <v>44561</v>
      </c>
      <c r="D43">
        <v>21800024</v>
      </c>
      <c r="E43" t="s">
        <v>299</v>
      </c>
      <c r="F43" t="s">
        <v>261</v>
      </c>
      <c r="G43" t="s">
        <v>301</v>
      </c>
      <c r="I43">
        <v>2700</v>
      </c>
      <c r="J43" t="s">
        <v>291</v>
      </c>
    </row>
    <row r="44" spans="1:10" x14ac:dyDescent="0.25">
      <c r="A44">
        <v>121</v>
      </c>
      <c r="B44">
        <v>12</v>
      </c>
      <c r="C44">
        <v>44561</v>
      </c>
      <c r="D44">
        <v>21800024</v>
      </c>
      <c r="E44" t="s">
        <v>299</v>
      </c>
      <c r="F44" t="s">
        <v>261</v>
      </c>
      <c r="G44" t="s">
        <v>302</v>
      </c>
      <c r="I44">
        <v>2250</v>
      </c>
      <c r="J44" t="s">
        <v>291</v>
      </c>
    </row>
    <row r="45" spans="1:10" x14ac:dyDescent="0.25">
      <c r="A45">
        <v>122</v>
      </c>
      <c r="B45">
        <v>12</v>
      </c>
      <c r="C45">
        <v>44561</v>
      </c>
      <c r="D45">
        <v>21800024</v>
      </c>
      <c r="E45" t="s">
        <v>299</v>
      </c>
      <c r="F45" t="s">
        <v>261</v>
      </c>
      <c r="G45" t="s">
        <v>303</v>
      </c>
      <c r="I45">
        <v>1620</v>
      </c>
      <c r="J45" t="s">
        <v>291</v>
      </c>
    </row>
    <row r="46" spans="1:10" x14ac:dyDescent="0.25">
      <c r="A46">
        <v>123</v>
      </c>
      <c r="B46">
        <v>12</v>
      </c>
      <c r="C46">
        <v>44561</v>
      </c>
      <c r="D46">
        <v>21800024</v>
      </c>
      <c r="E46" t="s">
        <v>299</v>
      </c>
      <c r="F46" t="s">
        <v>261</v>
      </c>
      <c r="G46" t="s">
        <v>304</v>
      </c>
      <c r="I46">
        <v>900</v>
      </c>
      <c r="J46" t="s">
        <v>291</v>
      </c>
    </row>
    <row r="47" spans="1:10" x14ac:dyDescent="0.25">
      <c r="A47">
        <v>124</v>
      </c>
      <c r="B47">
        <v>12</v>
      </c>
      <c r="C47">
        <v>44561</v>
      </c>
      <c r="D47">
        <v>21800024</v>
      </c>
      <c r="E47" t="s">
        <v>299</v>
      </c>
      <c r="F47" t="s">
        <v>261</v>
      </c>
      <c r="G47" t="s">
        <v>305</v>
      </c>
      <c r="I47">
        <v>900</v>
      </c>
      <c r="J47" t="s">
        <v>297</v>
      </c>
    </row>
    <row r="48" spans="1:10" x14ac:dyDescent="0.25">
      <c r="A48">
        <v>125</v>
      </c>
      <c r="B48">
        <v>12</v>
      </c>
      <c r="C48">
        <v>44561</v>
      </c>
      <c r="D48">
        <v>21800024</v>
      </c>
      <c r="E48" t="s">
        <v>299</v>
      </c>
      <c r="F48" t="s">
        <v>261</v>
      </c>
      <c r="G48" t="s">
        <v>305</v>
      </c>
      <c r="I48">
        <v>720</v>
      </c>
      <c r="J48" t="s">
        <v>295</v>
      </c>
    </row>
    <row r="49" spans="1:10" x14ac:dyDescent="0.25">
      <c r="A49">
        <v>126</v>
      </c>
      <c r="B49">
        <v>12</v>
      </c>
      <c r="C49">
        <v>44561</v>
      </c>
      <c r="D49">
        <v>21800024</v>
      </c>
      <c r="E49" t="s">
        <v>299</v>
      </c>
      <c r="F49" t="s">
        <v>261</v>
      </c>
      <c r="G49" t="s">
        <v>305</v>
      </c>
      <c r="I49">
        <v>1800</v>
      </c>
      <c r="J49" t="s">
        <v>291</v>
      </c>
    </row>
    <row r="50" spans="1:10" x14ac:dyDescent="0.25">
      <c r="A50">
        <v>127</v>
      </c>
      <c r="B50">
        <v>12</v>
      </c>
      <c r="C50">
        <v>44561</v>
      </c>
      <c r="D50">
        <v>21800024</v>
      </c>
      <c r="E50" t="s">
        <v>299</v>
      </c>
      <c r="F50" t="s">
        <v>261</v>
      </c>
      <c r="G50" t="s">
        <v>306</v>
      </c>
      <c r="I50">
        <v>1800</v>
      </c>
      <c r="J50" t="s">
        <v>291</v>
      </c>
    </row>
    <row r="51" spans="1:10" x14ac:dyDescent="0.25">
      <c r="A51">
        <v>128</v>
      </c>
      <c r="B51">
        <v>12</v>
      </c>
      <c r="C51">
        <v>44561</v>
      </c>
      <c r="D51">
        <v>21800024</v>
      </c>
      <c r="E51" t="s">
        <v>299</v>
      </c>
      <c r="F51" t="s">
        <v>261</v>
      </c>
      <c r="G51" t="s">
        <v>304</v>
      </c>
      <c r="I51">
        <v>2160</v>
      </c>
      <c r="J51" t="s">
        <v>295</v>
      </c>
    </row>
    <row r="52" spans="1:10" x14ac:dyDescent="0.25">
      <c r="A52">
        <v>129</v>
      </c>
      <c r="B52">
        <v>12</v>
      </c>
      <c r="C52">
        <v>44561</v>
      </c>
      <c r="D52">
        <v>21100247</v>
      </c>
      <c r="E52" t="s">
        <v>260</v>
      </c>
      <c r="F52" t="s">
        <v>261</v>
      </c>
      <c r="G52" t="s">
        <v>307</v>
      </c>
      <c r="I52">
        <v>570</v>
      </c>
      <c r="J52" t="s">
        <v>275</v>
      </c>
    </row>
    <row r="53" spans="1:10" x14ac:dyDescent="0.25">
      <c r="I53">
        <v>54210</v>
      </c>
    </row>
    <row r="56" spans="1:10" x14ac:dyDescent="0.25">
      <c r="H56" t="s">
        <v>263</v>
      </c>
      <c r="I56">
        <v>14840</v>
      </c>
    </row>
    <row r="57" spans="1:10" x14ac:dyDescent="0.25">
      <c r="H57" t="s">
        <v>275</v>
      </c>
      <c r="I57">
        <v>10890</v>
      </c>
    </row>
    <row r="58" spans="1:10" x14ac:dyDescent="0.25">
      <c r="H58" t="s">
        <v>282</v>
      </c>
      <c r="I58">
        <v>26770</v>
      </c>
    </row>
    <row r="59" spans="1:10" x14ac:dyDescent="0.25">
      <c r="H59" t="s">
        <v>286</v>
      </c>
      <c r="I59">
        <v>1710</v>
      </c>
    </row>
    <row r="60" spans="1:10" x14ac:dyDescent="0.25">
      <c r="J60">
        <v>54210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84364-19AD-4170-A5ED-7E4E68F4B538}">
  <dimension ref="A1:K67"/>
  <sheetViews>
    <sheetView workbookViewId="0">
      <selection activeCell="D23" sqref="D23"/>
    </sheetView>
  </sheetViews>
  <sheetFormatPr defaultColWidth="9.109375" defaultRowHeight="13.2" x14ac:dyDescent="0.25"/>
  <cols>
    <col min="1" max="1" width="16.88671875" style="116" customWidth="1"/>
    <col min="2" max="2" width="30.44140625" style="116" customWidth="1"/>
    <col min="3" max="3" width="12.109375" style="116" customWidth="1"/>
    <col min="4" max="4" width="9.33203125" style="116" customWidth="1"/>
    <col min="5" max="5" width="19.5546875" style="116" customWidth="1"/>
    <col min="6" max="6" width="17" style="116" customWidth="1"/>
    <col min="7" max="7" width="42" style="116" customWidth="1"/>
    <col min="8" max="8" width="9.44140625" style="116" customWidth="1"/>
    <col min="9" max="9" width="9.109375" style="116" bestFit="1"/>
    <col min="10" max="10" width="35.5546875" style="116" customWidth="1"/>
    <col min="11" max="16384" width="9.109375" style="116"/>
  </cols>
  <sheetData>
    <row r="1" spans="1:10" x14ac:dyDescent="0.25">
      <c r="A1" s="115"/>
    </row>
    <row r="2" spans="1:10" x14ac:dyDescent="0.25">
      <c r="A2" s="177" t="s">
        <v>239</v>
      </c>
      <c r="B2" s="177"/>
      <c r="C2" s="177"/>
      <c r="D2" s="177"/>
      <c r="E2" s="177"/>
      <c r="F2" s="177"/>
    </row>
    <row r="3" spans="1:10" x14ac:dyDescent="0.25">
      <c r="A3" s="177" t="s">
        <v>240</v>
      </c>
      <c r="B3" s="177"/>
      <c r="C3" s="177"/>
      <c r="D3" s="177"/>
      <c r="E3" s="177"/>
      <c r="F3" s="177"/>
    </row>
    <row r="4" spans="1:10" x14ac:dyDescent="0.25">
      <c r="A4" s="178" t="s">
        <v>308</v>
      </c>
      <c r="B4" s="177"/>
      <c r="C4" s="177"/>
      <c r="D4" s="177"/>
      <c r="E4" s="177"/>
      <c r="F4" s="177"/>
    </row>
    <row r="5" spans="1:10" x14ac:dyDescent="0.25">
      <c r="A5" s="117"/>
    </row>
    <row r="6" spans="1:10" x14ac:dyDescent="0.25">
      <c r="A6" t="s">
        <v>309</v>
      </c>
    </row>
    <row r="7" spans="1:10" x14ac:dyDescent="0.25">
      <c r="A7" s="116" t="s">
        <v>257</v>
      </c>
      <c r="B7" s="116" t="s">
        <v>310</v>
      </c>
      <c r="C7" s="116" t="s">
        <v>243</v>
      </c>
      <c r="D7" s="116" t="s">
        <v>246</v>
      </c>
      <c r="E7" s="116" t="s">
        <v>247</v>
      </c>
      <c r="F7" s="116" t="s">
        <v>246</v>
      </c>
    </row>
    <row r="8" spans="1:10" x14ac:dyDescent="0.25">
      <c r="A8" s="116" t="s">
        <v>248</v>
      </c>
      <c r="B8" s="118" t="s">
        <v>249</v>
      </c>
      <c r="C8" s="116" t="s">
        <v>250</v>
      </c>
      <c r="D8" s="116">
        <v>2021</v>
      </c>
      <c r="E8" s="116" t="s">
        <v>251</v>
      </c>
      <c r="F8" s="116" t="s">
        <v>311</v>
      </c>
    </row>
    <row r="9" spans="1:10" x14ac:dyDescent="0.25">
      <c r="A9"/>
    </row>
    <row r="11" spans="1:10" x14ac:dyDescent="0.25">
      <c r="A11" s="119" t="s">
        <v>252</v>
      </c>
      <c r="B11" s="119" t="s">
        <v>253</v>
      </c>
      <c r="C11" s="120" t="s">
        <v>254</v>
      </c>
      <c r="D11" s="119" t="s">
        <v>255</v>
      </c>
      <c r="E11" s="120" t="s">
        <v>256</v>
      </c>
      <c r="F11" s="120" t="s">
        <v>122</v>
      </c>
      <c r="G11" s="120" t="s">
        <v>312</v>
      </c>
      <c r="H11" s="119" t="s">
        <v>258</v>
      </c>
      <c r="I11" s="119" t="s">
        <v>259</v>
      </c>
      <c r="J11" s="120" t="s">
        <v>243</v>
      </c>
    </row>
    <row r="12" spans="1:10" x14ac:dyDescent="0.25">
      <c r="A12" s="121">
        <v>1</v>
      </c>
      <c r="B12" s="121">
        <v>1</v>
      </c>
      <c r="C12" s="122">
        <v>44203</v>
      </c>
      <c r="D12" s="123">
        <v>20210008</v>
      </c>
      <c r="E12" s="116" t="s">
        <v>313</v>
      </c>
      <c r="F12" s="116" t="s">
        <v>314</v>
      </c>
      <c r="G12" s="116" t="s">
        <v>315</v>
      </c>
      <c r="H12" s="124">
        <v>900</v>
      </c>
      <c r="J12" s="116" t="s">
        <v>244</v>
      </c>
    </row>
    <row r="13" spans="1:10" x14ac:dyDescent="0.25">
      <c r="A13" s="121">
        <v>2</v>
      </c>
      <c r="B13" s="121">
        <v>2</v>
      </c>
      <c r="C13" s="122">
        <v>44254</v>
      </c>
      <c r="D13" s="123">
        <v>20210043</v>
      </c>
      <c r="E13" s="116" t="s">
        <v>313</v>
      </c>
      <c r="F13" s="116" t="s">
        <v>316</v>
      </c>
      <c r="G13" s="116" t="s">
        <v>317</v>
      </c>
      <c r="H13" s="124">
        <v>450</v>
      </c>
      <c r="J13" s="116" t="s">
        <v>244</v>
      </c>
    </row>
    <row r="14" spans="1:10" x14ac:dyDescent="0.25">
      <c r="A14" s="121">
        <v>3</v>
      </c>
      <c r="B14" s="121">
        <v>3</v>
      </c>
      <c r="C14" s="122">
        <v>44268</v>
      </c>
      <c r="D14" s="123">
        <v>20210055</v>
      </c>
      <c r="E14" s="116" t="s">
        <v>313</v>
      </c>
      <c r="F14" s="116" t="s">
        <v>318</v>
      </c>
      <c r="G14" s="116" t="s">
        <v>317</v>
      </c>
      <c r="H14" s="124">
        <v>450</v>
      </c>
      <c r="J14" s="116" t="s">
        <v>244</v>
      </c>
    </row>
    <row r="15" spans="1:10" x14ac:dyDescent="0.25">
      <c r="A15" s="121">
        <v>4</v>
      </c>
      <c r="B15" s="121">
        <v>3</v>
      </c>
      <c r="C15" s="122">
        <v>44275</v>
      </c>
      <c r="D15" s="123">
        <v>20210057</v>
      </c>
      <c r="E15" s="116" t="s">
        <v>313</v>
      </c>
      <c r="F15" s="116" t="s">
        <v>318</v>
      </c>
      <c r="G15" s="116" t="s">
        <v>317</v>
      </c>
      <c r="H15" s="124">
        <v>450</v>
      </c>
      <c r="J15" s="116" t="s">
        <v>244</v>
      </c>
    </row>
    <row r="16" spans="1:10" x14ac:dyDescent="0.25">
      <c r="A16" s="121">
        <v>5</v>
      </c>
      <c r="B16" s="121">
        <v>3</v>
      </c>
      <c r="C16" s="122">
        <v>44281</v>
      </c>
      <c r="D16" s="123">
        <v>20210062</v>
      </c>
      <c r="E16" s="116" t="s">
        <v>313</v>
      </c>
      <c r="F16" s="116" t="s">
        <v>319</v>
      </c>
      <c r="G16" s="116" t="s">
        <v>320</v>
      </c>
      <c r="H16" s="124">
        <v>544</v>
      </c>
      <c r="J16" s="116" t="s">
        <v>244</v>
      </c>
    </row>
    <row r="17" spans="1:11" x14ac:dyDescent="0.25">
      <c r="A17" s="121">
        <v>6</v>
      </c>
      <c r="B17" s="121">
        <v>5</v>
      </c>
      <c r="C17" s="122">
        <v>44310</v>
      </c>
      <c r="D17" s="123">
        <v>20210081</v>
      </c>
      <c r="E17" s="116" t="s">
        <v>313</v>
      </c>
      <c r="F17" s="116" t="s">
        <v>318</v>
      </c>
      <c r="G17" s="116" t="s">
        <v>317</v>
      </c>
      <c r="H17" s="124">
        <v>450</v>
      </c>
      <c r="J17" s="116" t="s">
        <v>244</v>
      </c>
    </row>
    <row r="18" spans="1:11" x14ac:dyDescent="0.25">
      <c r="A18" s="121">
        <v>7</v>
      </c>
      <c r="B18" s="121">
        <v>6</v>
      </c>
      <c r="C18" s="122">
        <v>44361</v>
      </c>
      <c r="D18" s="123">
        <v>20210113</v>
      </c>
      <c r="E18" s="116" t="s">
        <v>313</v>
      </c>
      <c r="F18" s="116" t="s">
        <v>318</v>
      </c>
      <c r="G18" s="116" t="s">
        <v>321</v>
      </c>
      <c r="H18" s="124">
        <v>544.5</v>
      </c>
      <c r="J18" s="116" t="s">
        <v>244</v>
      </c>
    </row>
    <row r="19" spans="1:11" x14ac:dyDescent="0.25">
      <c r="A19" s="121">
        <v>8</v>
      </c>
      <c r="B19" s="121">
        <v>6</v>
      </c>
      <c r="C19" s="122">
        <v>44366</v>
      </c>
      <c r="D19" s="123">
        <v>20210117</v>
      </c>
      <c r="E19" s="116" t="s">
        <v>313</v>
      </c>
      <c r="F19" s="116" t="s">
        <v>318</v>
      </c>
      <c r="G19" s="116" t="s">
        <v>317</v>
      </c>
      <c r="H19" s="124">
        <v>150</v>
      </c>
      <c r="J19" s="116" t="s">
        <v>244</v>
      </c>
    </row>
    <row r="20" spans="1:11" x14ac:dyDescent="0.25">
      <c r="A20" s="121">
        <v>9</v>
      </c>
      <c r="B20" s="121">
        <v>6</v>
      </c>
      <c r="C20" s="122">
        <v>44369</v>
      </c>
      <c r="D20" s="123">
        <v>20210120</v>
      </c>
      <c r="E20" s="116" t="s">
        <v>313</v>
      </c>
      <c r="F20" s="116" t="s">
        <v>322</v>
      </c>
      <c r="G20" s="116" t="s">
        <v>323</v>
      </c>
      <c r="H20" s="124">
        <v>1000</v>
      </c>
      <c r="J20" s="116" t="s">
        <v>244</v>
      </c>
    </row>
    <row r="21" spans="1:11" x14ac:dyDescent="0.25">
      <c r="A21" s="121">
        <v>10</v>
      </c>
      <c r="B21" s="121">
        <v>6</v>
      </c>
      <c r="C21" s="122">
        <v>44370</v>
      </c>
      <c r="D21" s="123">
        <v>20210122</v>
      </c>
      <c r="E21" s="116" t="s">
        <v>313</v>
      </c>
      <c r="F21" s="116" t="s">
        <v>318</v>
      </c>
      <c r="G21" s="116" t="s">
        <v>324</v>
      </c>
      <c r="H21" s="124">
        <v>450</v>
      </c>
      <c r="J21" s="116" t="s">
        <v>244</v>
      </c>
    </row>
    <row r="22" spans="1:11" x14ac:dyDescent="0.25">
      <c r="A22" s="121">
        <v>11</v>
      </c>
      <c r="B22" s="121">
        <v>6</v>
      </c>
      <c r="C22" s="122">
        <v>44367</v>
      </c>
      <c r="D22" s="123">
        <v>20210118</v>
      </c>
      <c r="E22" s="116" t="s">
        <v>313</v>
      </c>
      <c r="F22" s="116" t="s">
        <v>318</v>
      </c>
      <c r="G22" s="116" t="s">
        <v>325</v>
      </c>
      <c r="H22" s="124">
        <v>2868.75</v>
      </c>
      <c r="J22" s="116" t="s">
        <v>244</v>
      </c>
    </row>
    <row r="23" spans="1:11" x14ac:dyDescent="0.25">
      <c r="A23" s="121">
        <v>12</v>
      </c>
      <c r="B23" s="121">
        <v>6</v>
      </c>
      <c r="C23" s="122">
        <v>44369</v>
      </c>
      <c r="D23" s="123">
        <v>20210119</v>
      </c>
      <c r="E23" s="116" t="s">
        <v>313</v>
      </c>
      <c r="F23" s="116" t="s">
        <v>326</v>
      </c>
      <c r="G23" s="116" t="s">
        <v>327</v>
      </c>
      <c r="H23" s="124">
        <v>1000</v>
      </c>
      <c r="J23" s="116" t="s">
        <v>244</v>
      </c>
    </row>
    <row r="24" spans="1:11" x14ac:dyDescent="0.25">
      <c r="A24" s="121">
        <v>13</v>
      </c>
      <c r="B24" s="121">
        <v>6</v>
      </c>
      <c r="C24" s="122">
        <v>44371</v>
      </c>
      <c r="D24" s="123">
        <v>20210123</v>
      </c>
      <c r="E24" s="116" t="s">
        <v>313</v>
      </c>
      <c r="F24" s="116" t="s">
        <v>328</v>
      </c>
      <c r="G24" s="116" t="s">
        <v>329</v>
      </c>
      <c r="H24" s="124">
        <v>1500</v>
      </c>
      <c r="J24" s="116" t="s">
        <v>244</v>
      </c>
    </row>
    <row r="25" spans="1:11" x14ac:dyDescent="0.25">
      <c r="A25" s="121">
        <v>14</v>
      </c>
      <c r="B25" s="121">
        <v>6</v>
      </c>
      <c r="C25" s="122">
        <v>44371</v>
      </c>
      <c r="D25" s="123">
        <v>20210124</v>
      </c>
      <c r="E25" s="116" t="s">
        <v>313</v>
      </c>
      <c r="F25" s="116" t="s">
        <v>318</v>
      </c>
      <c r="G25" s="116" t="s">
        <v>330</v>
      </c>
      <c r="H25" s="124">
        <v>900</v>
      </c>
      <c r="J25" s="116" t="s">
        <v>244</v>
      </c>
    </row>
    <row r="26" spans="1:11" x14ac:dyDescent="0.25">
      <c r="A26" s="121">
        <v>15</v>
      </c>
      <c r="B26" s="121">
        <v>6</v>
      </c>
      <c r="C26" s="122">
        <v>44375</v>
      </c>
      <c r="D26" s="123">
        <v>20210127</v>
      </c>
      <c r="E26" s="116" t="s">
        <v>313</v>
      </c>
      <c r="F26" s="116" t="s">
        <v>318</v>
      </c>
      <c r="G26" s="116" t="s">
        <v>331</v>
      </c>
      <c r="H26" s="124">
        <v>900</v>
      </c>
      <c r="J26" s="116" t="s">
        <v>244</v>
      </c>
    </row>
    <row r="27" spans="1:11" x14ac:dyDescent="0.25">
      <c r="A27" s="121">
        <v>16</v>
      </c>
      <c r="B27" s="121">
        <v>6</v>
      </c>
      <c r="C27" s="122">
        <v>44375</v>
      </c>
      <c r="D27" s="123">
        <v>20210126</v>
      </c>
      <c r="E27" s="116" t="s">
        <v>313</v>
      </c>
      <c r="F27" s="116" t="s">
        <v>318</v>
      </c>
      <c r="G27" s="116" t="s">
        <v>332</v>
      </c>
      <c r="H27" s="124">
        <v>1200</v>
      </c>
      <c r="J27" s="116" t="s">
        <v>244</v>
      </c>
    </row>
    <row r="28" spans="1:11" x14ac:dyDescent="0.25">
      <c r="A28" s="121">
        <v>17</v>
      </c>
      <c r="B28" s="121">
        <v>6</v>
      </c>
      <c r="C28" s="122">
        <v>44377</v>
      </c>
      <c r="D28" s="123">
        <v>20210129</v>
      </c>
      <c r="E28" s="116" t="s">
        <v>313</v>
      </c>
      <c r="F28" s="116" t="s">
        <v>318</v>
      </c>
      <c r="G28" s="116" t="s">
        <v>333</v>
      </c>
      <c r="H28" s="124">
        <v>1089</v>
      </c>
      <c r="J28" s="116" t="s">
        <v>244</v>
      </c>
    </row>
    <row r="29" spans="1:11" x14ac:dyDescent="0.25">
      <c r="A29" s="121">
        <v>18</v>
      </c>
      <c r="B29" s="121">
        <v>6</v>
      </c>
      <c r="C29" s="122">
        <v>44376</v>
      </c>
      <c r="D29" s="123">
        <v>20210128</v>
      </c>
      <c r="E29" s="116" t="s">
        <v>313</v>
      </c>
      <c r="F29" s="116" t="s">
        <v>334</v>
      </c>
      <c r="G29" s="116" t="s">
        <v>335</v>
      </c>
      <c r="H29" s="124">
        <v>1089</v>
      </c>
      <c r="J29" s="116" t="s">
        <v>244</v>
      </c>
    </row>
    <row r="30" spans="1:11" x14ac:dyDescent="0.25">
      <c r="A30" s="121">
        <v>19</v>
      </c>
      <c r="B30" s="121">
        <v>6</v>
      </c>
      <c r="C30" s="122">
        <v>44377</v>
      </c>
      <c r="D30" s="123">
        <v>20210142</v>
      </c>
      <c r="E30" s="116" t="s">
        <v>313</v>
      </c>
      <c r="F30" s="116" t="s">
        <v>318</v>
      </c>
      <c r="G30" s="116" t="s">
        <v>336</v>
      </c>
      <c r="H30" s="124">
        <v>900.24</v>
      </c>
      <c r="J30" s="116" t="s">
        <v>244</v>
      </c>
    </row>
    <row r="31" spans="1:11" x14ac:dyDescent="0.25">
      <c r="A31" s="121">
        <v>20</v>
      </c>
      <c r="B31" s="121">
        <v>7</v>
      </c>
      <c r="C31" s="122">
        <v>44390</v>
      </c>
      <c r="D31" s="123">
        <v>20210149</v>
      </c>
      <c r="E31" s="116" t="s">
        <v>313</v>
      </c>
      <c r="F31" s="116" t="s">
        <v>318</v>
      </c>
      <c r="G31" s="116" t="s">
        <v>337</v>
      </c>
      <c r="H31" s="124">
        <v>2722.5</v>
      </c>
      <c r="J31" s="116" t="s">
        <v>244</v>
      </c>
    </row>
    <row r="32" spans="1:11" x14ac:dyDescent="0.25">
      <c r="A32" s="121">
        <v>21</v>
      </c>
      <c r="B32" s="121">
        <v>7</v>
      </c>
      <c r="C32" s="122">
        <v>44397</v>
      </c>
      <c r="D32" s="123">
        <v>20210151</v>
      </c>
      <c r="E32" s="116" t="s">
        <v>313</v>
      </c>
      <c r="F32" s="116" t="s">
        <v>318</v>
      </c>
      <c r="G32" s="116" t="s">
        <v>338</v>
      </c>
      <c r="H32" s="124">
        <v>816.75</v>
      </c>
      <c r="J32" s="116" t="s">
        <v>244</v>
      </c>
      <c r="K32" s="116" t="s">
        <v>339</v>
      </c>
    </row>
    <row r="33" spans="1:10" x14ac:dyDescent="0.25">
      <c r="A33" s="121">
        <v>22</v>
      </c>
      <c r="B33" s="121">
        <v>7</v>
      </c>
      <c r="C33" s="122">
        <v>44385</v>
      </c>
      <c r="D33" s="123">
        <v>20210148</v>
      </c>
      <c r="E33" s="116" t="s">
        <v>313</v>
      </c>
      <c r="F33" s="116" t="s">
        <v>318</v>
      </c>
      <c r="G33" s="116" t="s">
        <v>315</v>
      </c>
      <c r="H33" s="124">
        <v>450</v>
      </c>
      <c r="J33" s="116" t="s">
        <v>244</v>
      </c>
    </row>
    <row r="34" spans="1:10" x14ac:dyDescent="0.25">
      <c r="A34" s="121">
        <v>23</v>
      </c>
      <c r="B34" s="121">
        <v>7</v>
      </c>
      <c r="C34" s="122">
        <v>44382</v>
      </c>
      <c r="D34" s="123">
        <v>20210146</v>
      </c>
      <c r="E34" s="116" t="s">
        <v>313</v>
      </c>
      <c r="F34" s="116" t="s">
        <v>316</v>
      </c>
      <c r="G34" s="116" t="s">
        <v>340</v>
      </c>
      <c r="H34" s="124">
        <v>450</v>
      </c>
      <c r="J34" s="116" t="s">
        <v>244</v>
      </c>
    </row>
    <row r="35" spans="1:10" x14ac:dyDescent="0.25">
      <c r="A35" s="121">
        <v>24</v>
      </c>
      <c r="B35" s="121">
        <v>9</v>
      </c>
      <c r="C35" s="122">
        <v>44452</v>
      </c>
      <c r="D35" s="123">
        <v>20210188</v>
      </c>
      <c r="E35" s="116" t="s">
        <v>313</v>
      </c>
      <c r="F35" s="116" t="s">
        <v>316</v>
      </c>
      <c r="G35" s="116" t="s">
        <v>340</v>
      </c>
      <c r="H35" s="124">
        <v>450</v>
      </c>
      <c r="J35" s="116" t="s">
        <v>244</v>
      </c>
    </row>
    <row r="36" spans="1:10" x14ac:dyDescent="0.25">
      <c r="A36" s="121">
        <v>25</v>
      </c>
      <c r="B36" s="121">
        <v>9</v>
      </c>
      <c r="C36" s="122">
        <v>44454</v>
      </c>
      <c r="D36" s="123">
        <v>20210189</v>
      </c>
      <c r="E36" s="116" t="s">
        <v>313</v>
      </c>
      <c r="F36" s="116" t="s">
        <v>334</v>
      </c>
      <c r="G36" s="116" t="s">
        <v>341</v>
      </c>
      <c r="H36" s="124">
        <v>1089</v>
      </c>
      <c r="J36" s="116" t="s">
        <v>244</v>
      </c>
    </row>
    <row r="37" spans="1:10" x14ac:dyDescent="0.25">
      <c r="A37" s="121">
        <v>26</v>
      </c>
      <c r="B37" s="121">
        <v>9</v>
      </c>
      <c r="C37" s="122">
        <v>44465</v>
      </c>
      <c r="D37" s="123">
        <v>20210194</v>
      </c>
      <c r="E37" s="116" t="s">
        <v>313</v>
      </c>
      <c r="F37" s="116" t="s">
        <v>342</v>
      </c>
      <c r="G37" s="116" t="s">
        <v>343</v>
      </c>
      <c r="H37" s="124">
        <v>1089</v>
      </c>
      <c r="J37" s="116" t="s">
        <v>244</v>
      </c>
    </row>
    <row r="38" spans="1:10" x14ac:dyDescent="0.25">
      <c r="A38" s="121">
        <v>27</v>
      </c>
      <c r="B38" s="121">
        <v>9</v>
      </c>
      <c r="C38" s="122">
        <v>44461</v>
      </c>
      <c r="D38" s="123">
        <v>20210191</v>
      </c>
      <c r="E38" s="116" t="s">
        <v>313</v>
      </c>
      <c r="F38" s="116" t="s">
        <v>344</v>
      </c>
      <c r="G38" s="116" t="s">
        <v>320</v>
      </c>
      <c r="H38" s="124">
        <v>544.5</v>
      </c>
      <c r="J38" s="116" t="s">
        <v>244</v>
      </c>
    </row>
    <row r="39" spans="1:10" x14ac:dyDescent="0.25">
      <c r="A39" s="121">
        <v>28</v>
      </c>
      <c r="B39" s="121">
        <v>10</v>
      </c>
      <c r="C39" s="122">
        <v>44472</v>
      </c>
      <c r="D39" s="123">
        <v>20210202</v>
      </c>
      <c r="E39" s="116" t="s">
        <v>313</v>
      </c>
      <c r="F39" s="116" t="s">
        <v>342</v>
      </c>
      <c r="G39" s="116" t="s">
        <v>343</v>
      </c>
      <c r="H39" s="124">
        <v>1089</v>
      </c>
      <c r="J39" s="116" t="s">
        <v>244</v>
      </c>
    </row>
    <row r="40" spans="1:10" x14ac:dyDescent="0.25">
      <c r="A40" s="121">
        <v>29</v>
      </c>
      <c r="B40" s="121">
        <v>10</v>
      </c>
      <c r="C40" s="125">
        <v>44479</v>
      </c>
      <c r="D40" s="123">
        <v>20210210</v>
      </c>
      <c r="E40" s="116" t="s">
        <v>313</v>
      </c>
      <c r="F40" s="116" t="s">
        <v>345</v>
      </c>
      <c r="G40" s="116" t="s">
        <v>343</v>
      </c>
      <c r="H40" s="124">
        <v>1089</v>
      </c>
      <c r="J40" s="116" t="s">
        <v>244</v>
      </c>
    </row>
    <row r="41" spans="1:10" x14ac:dyDescent="0.25">
      <c r="A41" s="121">
        <v>30</v>
      </c>
      <c r="B41" s="121">
        <v>11</v>
      </c>
      <c r="C41" s="125">
        <v>44530</v>
      </c>
      <c r="D41" s="123">
        <v>20210263</v>
      </c>
      <c r="E41" s="116" t="s">
        <v>313</v>
      </c>
      <c r="F41" s="116" t="s">
        <v>346</v>
      </c>
      <c r="G41" s="116" t="s">
        <v>347</v>
      </c>
      <c r="H41" s="124">
        <v>450</v>
      </c>
      <c r="J41" s="116" t="s">
        <v>244</v>
      </c>
    </row>
    <row r="42" spans="1:10" x14ac:dyDescent="0.25">
      <c r="A42" s="121">
        <v>31</v>
      </c>
      <c r="B42" s="121">
        <v>11</v>
      </c>
      <c r="C42" s="125">
        <v>44530</v>
      </c>
      <c r="D42" s="123">
        <v>20210262</v>
      </c>
      <c r="E42" s="116" t="s">
        <v>313</v>
      </c>
      <c r="F42" s="116" t="s">
        <v>348</v>
      </c>
      <c r="G42" s="116" t="s">
        <v>349</v>
      </c>
      <c r="H42" s="124">
        <v>450</v>
      </c>
      <c r="J42" s="116" t="s">
        <v>244</v>
      </c>
    </row>
    <row r="43" spans="1:10" x14ac:dyDescent="0.25">
      <c r="A43" s="121">
        <v>32</v>
      </c>
      <c r="B43" s="121">
        <v>11</v>
      </c>
      <c r="C43" s="125">
        <v>44522</v>
      </c>
      <c r="D43" s="123">
        <v>20210280</v>
      </c>
      <c r="E43" s="116" t="s">
        <v>313</v>
      </c>
      <c r="F43" s="116" t="s">
        <v>350</v>
      </c>
      <c r="G43" s="116" t="s">
        <v>315</v>
      </c>
      <c r="H43" s="124">
        <v>1050</v>
      </c>
      <c r="J43" s="116" t="s">
        <v>244</v>
      </c>
    </row>
    <row r="44" spans="1:10" x14ac:dyDescent="0.25">
      <c r="A44" s="121">
        <v>33</v>
      </c>
      <c r="B44" s="121">
        <v>11</v>
      </c>
      <c r="C44" s="125">
        <v>44522</v>
      </c>
      <c r="D44" s="123">
        <v>20210278</v>
      </c>
      <c r="E44" s="116" t="s">
        <v>313</v>
      </c>
      <c r="F44" s="116" t="s">
        <v>346</v>
      </c>
      <c r="G44" s="116" t="s">
        <v>351</v>
      </c>
      <c r="H44" s="124">
        <v>450</v>
      </c>
      <c r="J44" s="116" t="s">
        <v>244</v>
      </c>
    </row>
    <row r="45" spans="1:10" x14ac:dyDescent="0.25">
      <c r="A45" s="121">
        <v>34</v>
      </c>
      <c r="B45" s="121">
        <v>11</v>
      </c>
      <c r="C45" s="125">
        <v>44522</v>
      </c>
      <c r="D45" s="123">
        <v>20210279</v>
      </c>
      <c r="E45" s="116" t="s">
        <v>313</v>
      </c>
      <c r="F45" s="116" t="s">
        <v>350</v>
      </c>
      <c r="G45" s="116" t="s">
        <v>352</v>
      </c>
      <c r="H45" s="124">
        <v>750</v>
      </c>
      <c r="J45" s="116" t="s">
        <v>244</v>
      </c>
    </row>
    <row r="46" spans="1:10" x14ac:dyDescent="0.25">
      <c r="A46" s="121">
        <v>35</v>
      </c>
      <c r="B46" s="121">
        <v>12</v>
      </c>
      <c r="C46" s="125">
        <v>44561</v>
      </c>
      <c r="D46" s="123">
        <v>20210259</v>
      </c>
      <c r="E46" s="116" t="s">
        <v>313</v>
      </c>
      <c r="F46" s="116" t="s">
        <v>334</v>
      </c>
      <c r="G46" s="116" t="s">
        <v>321</v>
      </c>
      <c r="H46" s="124">
        <v>1089</v>
      </c>
      <c r="J46" s="116" t="s">
        <v>244</v>
      </c>
    </row>
    <row r="47" spans="1:10" x14ac:dyDescent="0.25">
      <c r="A47" s="121">
        <v>36</v>
      </c>
      <c r="B47" s="121">
        <v>12</v>
      </c>
      <c r="C47" s="125">
        <v>44561</v>
      </c>
      <c r="D47" s="123">
        <v>20210258</v>
      </c>
      <c r="E47" s="116" t="s">
        <v>313</v>
      </c>
      <c r="F47" s="116" t="s">
        <v>334</v>
      </c>
      <c r="G47" s="116" t="s">
        <v>321</v>
      </c>
      <c r="H47" s="124">
        <v>1089</v>
      </c>
      <c r="J47" s="116" t="s">
        <v>244</v>
      </c>
    </row>
    <row r="48" spans="1:10" x14ac:dyDescent="0.25">
      <c r="A48" s="121">
        <v>37</v>
      </c>
      <c r="B48" s="121">
        <v>12</v>
      </c>
      <c r="C48" s="125">
        <v>44561</v>
      </c>
      <c r="D48" s="123">
        <v>20210257</v>
      </c>
      <c r="E48" s="116" t="s">
        <v>313</v>
      </c>
      <c r="F48" s="116" t="s">
        <v>318</v>
      </c>
      <c r="G48" s="116" t="s">
        <v>321</v>
      </c>
      <c r="H48" s="124">
        <v>1089</v>
      </c>
      <c r="J48" s="116" t="s">
        <v>244</v>
      </c>
    </row>
    <row r="49" spans="1:10" x14ac:dyDescent="0.25">
      <c r="A49" s="121">
        <v>38</v>
      </c>
      <c r="B49" s="121">
        <v>12</v>
      </c>
      <c r="C49" s="125">
        <v>44561</v>
      </c>
      <c r="D49" s="123">
        <v>20210256</v>
      </c>
      <c r="E49" s="116" t="s">
        <v>313</v>
      </c>
      <c r="F49" s="116" t="s">
        <v>353</v>
      </c>
      <c r="G49" s="116" t="s">
        <v>321</v>
      </c>
      <c r="H49" s="124">
        <v>1361.25</v>
      </c>
      <c r="J49" s="116" t="s">
        <v>244</v>
      </c>
    </row>
    <row r="50" spans="1:10" x14ac:dyDescent="0.25">
      <c r="A50" s="121">
        <v>39</v>
      </c>
      <c r="B50" s="121">
        <v>12</v>
      </c>
      <c r="C50" s="125">
        <v>44559</v>
      </c>
      <c r="D50" s="123">
        <v>20210286</v>
      </c>
      <c r="E50" s="116" t="s">
        <v>313</v>
      </c>
      <c r="F50" s="116" t="s">
        <v>354</v>
      </c>
      <c r="G50" s="116" t="s">
        <v>355</v>
      </c>
      <c r="H50" s="124">
        <v>900</v>
      </c>
      <c r="J50" s="116" t="s">
        <v>244</v>
      </c>
    </row>
    <row r="51" spans="1:10" x14ac:dyDescent="0.25">
      <c r="A51" s="121">
        <v>40</v>
      </c>
      <c r="B51" s="121">
        <v>12</v>
      </c>
      <c r="C51" s="125">
        <v>44545</v>
      </c>
      <c r="D51" s="123">
        <v>20210284</v>
      </c>
      <c r="E51" s="116" t="s">
        <v>313</v>
      </c>
      <c r="F51" s="116" t="s">
        <v>354</v>
      </c>
      <c r="G51" s="116" t="s">
        <v>332</v>
      </c>
      <c r="H51" s="124">
        <v>450</v>
      </c>
      <c r="J51" s="116" t="s">
        <v>244</v>
      </c>
    </row>
    <row r="52" spans="1:10" x14ac:dyDescent="0.25">
      <c r="A52" s="121">
        <v>41</v>
      </c>
      <c r="B52" s="121">
        <v>12</v>
      </c>
      <c r="C52" s="125">
        <v>44557</v>
      </c>
      <c r="D52" s="123">
        <v>20210285</v>
      </c>
      <c r="E52" s="116" t="s">
        <v>313</v>
      </c>
      <c r="F52" s="116" t="s">
        <v>354</v>
      </c>
      <c r="G52" s="116" t="s">
        <v>356</v>
      </c>
      <c r="H52" s="124">
        <v>450</v>
      </c>
      <c r="J52" s="116" t="s">
        <v>244</v>
      </c>
    </row>
    <row r="53" spans="1:10" x14ac:dyDescent="0.25">
      <c r="A53" s="121">
        <v>42</v>
      </c>
      <c r="B53" s="121">
        <v>12</v>
      </c>
      <c r="C53" s="122">
        <v>44539</v>
      </c>
      <c r="D53" s="123">
        <v>20210283</v>
      </c>
      <c r="E53" s="116" t="s">
        <v>313</v>
      </c>
      <c r="F53" s="116" t="s">
        <v>354</v>
      </c>
      <c r="G53" s="116" t="s">
        <v>357</v>
      </c>
      <c r="H53" s="124">
        <v>450</v>
      </c>
      <c r="J53" s="116" t="s">
        <v>244</v>
      </c>
    </row>
    <row r="54" spans="1:10" x14ac:dyDescent="0.25">
      <c r="A54" s="121">
        <v>43</v>
      </c>
      <c r="B54" s="121">
        <v>12</v>
      </c>
      <c r="C54" s="122">
        <v>44539</v>
      </c>
      <c r="D54" s="123">
        <v>20210282</v>
      </c>
      <c r="E54" s="116" t="s">
        <v>313</v>
      </c>
      <c r="F54" s="116" t="s">
        <v>354</v>
      </c>
      <c r="G54" s="116" t="s">
        <v>358</v>
      </c>
      <c r="H54" s="124">
        <v>450</v>
      </c>
      <c r="J54" s="116" t="s">
        <v>244</v>
      </c>
    </row>
    <row r="55" spans="1:10" x14ac:dyDescent="0.25">
      <c r="A55" s="121">
        <v>44</v>
      </c>
      <c r="B55" s="121">
        <v>12</v>
      </c>
      <c r="C55" s="122">
        <v>44539</v>
      </c>
      <c r="D55" s="123">
        <v>20210281</v>
      </c>
      <c r="E55" s="116" t="s">
        <v>313</v>
      </c>
      <c r="F55" s="116" t="s">
        <v>354</v>
      </c>
      <c r="G55" s="116" t="s">
        <v>359</v>
      </c>
      <c r="H55" s="124">
        <v>900</v>
      </c>
      <c r="J55" s="116" t="s">
        <v>244</v>
      </c>
    </row>
    <row r="56" spans="1:10" x14ac:dyDescent="0.25">
      <c r="A56" s="121">
        <v>45</v>
      </c>
      <c r="B56" s="121">
        <v>12</v>
      </c>
      <c r="C56" s="122">
        <v>44539</v>
      </c>
      <c r="D56" s="123">
        <v>20210287</v>
      </c>
      <c r="E56" s="116" t="s">
        <v>313</v>
      </c>
      <c r="F56" s="116" t="s">
        <v>354</v>
      </c>
      <c r="G56" s="116" t="s">
        <v>360</v>
      </c>
      <c r="H56" s="124">
        <v>900</v>
      </c>
      <c r="J56" s="116" t="s">
        <v>244</v>
      </c>
    </row>
    <row r="57" spans="1:10" x14ac:dyDescent="0.25">
      <c r="A57" s="179" t="s">
        <v>361</v>
      </c>
      <c r="B57" s="179"/>
      <c r="C57" s="179"/>
      <c r="D57" s="179"/>
      <c r="E57" s="179"/>
      <c r="F57" s="179"/>
      <c r="G57" s="179"/>
      <c r="H57" s="126">
        <v>38903.49</v>
      </c>
      <c r="I57" s="120"/>
      <c r="J57" s="120"/>
    </row>
    <row r="58" spans="1:10" x14ac:dyDescent="0.25">
      <c r="A58" s="179" t="s">
        <v>362</v>
      </c>
      <c r="B58" s="179"/>
      <c r="C58" s="179"/>
      <c r="D58" s="179"/>
      <c r="E58" s="179"/>
      <c r="F58" s="179"/>
      <c r="G58" s="179"/>
      <c r="H58" s="126">
        <v>38903.49</v>
      </c>
      <c r="I58" s="120"/>
      <c r="J58" s="120"/>
    </row>
    <row r="60" spans="1:10" x14ac:dyDescent="0.25">
      <c r="I60" s="127"/>
    </row>
    <row r="63" spans="1:10" x14ac:dyDescent="0.25">
      <c r="F63" s="116" t="s">
        <v>314</v>
      </c>
      <c r="H63" s="124">
        <v>900</v>
      </c>
    </row>
    <row r="64" spans="1:10" x14ac:dyDescent="0.25">
      <c r="F64" s="116" t="s">
        <v>316</v>
      </c>
      <c r="H64" s="124">
        <v>22185.99</v>
      </c>
    </row>
    <row r="65" spans="6:9" x14ac:dyDescent="0.25">
      <c r="F65" s="116" t="s">
        <v>348</v>
      </c>
      <c r="H65" s="124">
        <v>11461.5</v>
      </c>
    </row>
    <row r="66" spans="6:9" x14ac:dyDescent="0.25">
      <c r="F66" s="116" t="s">
        <v>334</v>
      </c>
      <c r="H66" s="124">
        <v>4356</v>
      </c>
    </row>
    <row r="67" spans="6:9" x14ac:dyDescent="0.25">
      <c r="I67" s="126">
        <f>SUBTOTAL(9,H63:H66)</f>
        <v>38903.490000000005</v>
      </c>
    </row>
  </sheetData>
  <mergeCells count="5">
    <mergeCell ref="A2:F2"/>
    <mergeCell ref="A3:F3"/>
    <mergeCell ref="A4:F4"/>
    <mergeCell ref="A57:G57"/>
    <mergeCell ref="A58:G5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igitaal Dossier Document" ma:contentTypeID="0x0101008D104B3BD563E54EBC624D68BE3645910030378BD40C69724487DD09C3C49E3AF2" ma:contentTypeVersion="10" ma:contentTypeDescription="Een nieuw document maken." ma:contentTypeScope="" ma:versionID="69c34f0d6fbd282efa12898b044494d2">
  <xsd:schema xmlns:xsd="http://www.w3.org/2001/XMLSchema" xmlns:xs="http://www.w3.org/2001/XMLSchema" xmlns:p="http://schemas.microsoft.com/office/2006/metadata/properties" xmlns:ns2="ee8375ae-dc0c-4ef2-a041-cd89966e58ea" targetNamespace="http://schemas.microsoft.com/office/2006/metadata/properties" ma:root="true" ma:fieldsID="ccbcc7ca1b746ccc4d98c50e133aa51b" ns2:_="">
    <xsd:import namespace="ee8375ae-dc0c-4ef2-a041-cd89966e58ea"/>
    <xsd:element name="properties">
      <xsd:complexType>
        <xsd:sequence>
          <xsd:element name="documentManagement">
            <xsd:complexType>
              <xsd:all>
                <xsd:element ref="ns2:sbbRechtspersonenBelastingRubriek" minOccurs="0"/>
                <xsd:element ref="ns2:sbbArchief" minOccurs="0"/>
                <xsd:element ref="ns2:sbbOpmerkingen" minOccurs="0"/>
                <xsd:element ref="ns2:sbb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375ae-dc0c-4ef2-a041-cd89966e58ea" elementFormDefault="qualified">
    <xsd:import namespace="http://schemas.microsoft.com/office/2006/documentManagement/types"/>
    <xsd:import namespace="http://schemas.microsoft.com/office/infopath/2007/PartnerControls"/>
    <xsd:element name="sbbRechtspersonenBelastingRubriek" ma:index="4" nillable="true" ma:displayName="Aanslagjaar" ma:default="Algemene gegevens" ma:format="Dropdown" ma:internalName="sbbRechtspersonenBelastingRubriek" ma:readOnly="false">
      <xsd:simpleType>
        <xsd:restriction base="dms:Choice">
          <xsd:enumeration value="Algemene gegevens"/>
          <xsd:enumeration value="Controles"/>
          <xsd:enumeration value="2007"/>
          <xsd:enumeration value="2008"/>
          <xsd:enumeration value="2009"/>
          <xsd:enumeration value="2010"/>
          <xsd:enumeration value="2011"/>
          <xsd:enumeration value="2012"/>
          <xsd:enumeration value="2013"/>
          <xsd:enumeration value="2014"/>
          <xsd:enumeration value="Voor 2007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  <xsd:enumeration value="2031"/>
          <xsd:enumeration value="2032"/>
          <xsd:enumeration value="2033"/>
          <xsd:enumeration value="2034"/>
          <xsd:enumeration value="2035"/>
          <xsd:enumeration value="2036"/>
          <xsd:enumeration value="2037"/>
          <xsd:enumeration value="2038"/>
          <xsd:enumeration value="2039"/>
          <xsd:enumeration value="2040"/>
          <xsd:enumeration value="2041"/>
          <xsd:enumeration value="2042"/>
          <xsd:enumeration value="2043"/>
          <xsd:enumeration value="2044"/>
          <xsd:enumeration value="2045"/>
          <xsd:enumeration value="2046"/>
          <xsd:enumeration value="2047"/>
          <xsd:enumeration value="2048"/>
          <xsd:enumeration value="2049"/>
          <xsd:enumeration value="2050"/>
        </xsd:restriction>
      </xsd:simpleType>
    </xsd:element>
    <xsd:element name="sbbArchief" ma:index="5" nillable="true" ma:displayName="Archief" ma:default="0" ma:description="Archief" ma:internalName="sbbArchief" ma:readOnly="false">
      <xsd:simpleType>
        <xsd:restriction base="dms:Boolean"/>
      </xsd:simpleType>
    </xsd:element>
    <xsd:element name="sbbOpmerkingen" ma:index="6" nillable="true" ma:displayName="Eigen Commentaar" ma:description="Opmerkingen" ma:internalName="sbbOpmerkingen" ma:readOnly="false">
      <xsd:simpleType>
        <xsd:restriction base="dms:Note">
          <xsd:maxLength value="255"/>
        </xsd:restriction>
      </xsd:simpleType>
    </xsd:element>
    <xsd:element name="sbbOCR" ma:index="7" nillable="true" ma:displayName="OCR" ma:default="0" ma:internalName="sbbOCR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Inhoudstype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bbArchief xmlns="ee8375ae-dc0c-4ef2-a041-cd89966e58ea">false</sbbArchief>
    <sbbRechtspersonenBelastingRubriek xmlns="ee8375ae-dc0c-4ef2-a041-cd89966e58ea">2021</sbbRechtspersonenBelastingRubriek>
    <sbbOCR xmlns="ee8375ae-dc0c-4ef2-a041-cd89966e58ea">false</sbbOCR>
    <sbbOpmerkingen xmlns="ee8375ae-dc0c-4ef2-a041-cd89966e58ea" xsi:nil="true"/>
  </documentManagement>
</p:properties>
</file>

<file path=customXml/itemProps1.xml><?xml version="1.0" encoding="utf-8"?>
<ds:datastoreItem xmlns:ds="http://schemas.openxmlformats.org/officeDocument/2006/customXml" ds:itemID="{B59505AB-B2E8-4B30-9FD2-7513199BCE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8375ae-dc0c-4ef2-a041-cd89966e58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E4EDEA-8968-41DB-A324-13FB494546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CDDD0D-3459-426C-9CB0-C02C7E11FB7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ee8375ae-dc0c-4ef2-a041-cd89966e58e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Analytische balans per periodeA</vt:lpstr>
      <vt:lpstr>Blad2</vt:lpstr>
      <vt:lpstr>Blad1</vt:lpstr>
      <vt:lpstr>loon V</vt:lpstr>
      <vt:lpstr>lokaal catering profs inschrijv</vt:lpstr>
      <vt:lpstr>inkomsten cylcu 4</vt:lpstr>
      <vt:lpstr>prof kost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RESULTATEN 2020 - BUDGET 2021  RVB 31122020 - finale versie veronique</dc:title>
  <dc:creator>Ilse Serneels</dc:creator>
  <cp:lastModifiedBy>Veronique Matthys</cp:lastModifiedBy>
  <dcterms:created xsi:type="dcterms:W3CDTF">2019-01-28T12:53:22Z</dcterms:created>
  <dcterms:modified xsi:type="dcterms:W3CDTF">2025-03-20T17:29:52Z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0x0101008D104B3BD563E54EBC624D68BE3645910030378BD40C69724487DD09C3C49E3AF2</vt:lpwstr>
  </property>
</Properties>
</file>